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1 TGA_CURSOS\Walmart\CURSO 01\01 produccion Curso 1\EJERCICIOS CURSO\"/>
    </mc:Choice>
  </mc:AlternateContent>
  <xr:revisionPtr revIDLastSave="0" documentId="13_ncr:1_{32226C49-2103-4EFE-8EED-479DE95D2B30}" xr6:coauthVersionLast="47" xr6:coauthVersionMax="47" xr10:uidLastSave="{00000000-0000-0000-0000-000000000000}"/>
  <bookViews>
    <workbookView xWindow="-100" yWindow="-100" windowWidth="21467" windowHeight="11443" activeTab="1" xr2:uid="{EFB4AFDD-865D-49FF-AD0D-B7D1B296A476}"/>
  </bookViews>
  <sheets>
    <sheet name="Crecimiento Simple" sheetId="6" r:id="rId1"/>
    <sheet name="Empresa ACME Datos" sheetId="1" r:id="rId2"/>
    <sheet name="Empresa ACME Solucion" sheetId="7" r:id="rId3"/>
    <sheet name="Ejercicios modulo 1" sheetId="2" r:id="rId4"/>
    <sheet name="Ejemplo Plan de Mejora" sheetId="3" r:id="rId5"/>
  </sheets>
  <definedNames>
    <definedName name="_xlchart.v1.0" hidden="1">'Crecimiento Simple'!$E$4:$G$4</definedName>
    <definedName name="_xlchart.v1.1" hidden="1">'Crecimiento Simple'!$E$5:$G$5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K20" i="1"/>
  <c r="K19" i="1"/>
  <c r="K18" i="1"/>
  <c r="J20" i="1"/>
  <c r="J19" i="1"/>
  <c r="J18" i="1"/>
  <c r="I20" i="1"/>
  <c r="I19" i="1"/>
  <c r="I18" i="1"/>
  <c r="E27" i="1"/>
  <c r="E26" i="1"/>
  <c r="E25" i="1"/>
  <c r="D27" i="1"/>
  <c r="C27" i="1"/>
  <c r="B27" i="1"/>
  <c r="D26" i="1"/>
  <c r="D25" i="1"/>
  <c r="G19" i="1"/>
  <c r="G18" i="1"/>
  <c r="E20" i="1"/>
  <c r="E19" i="1"/>
  <c r="E18" i="1"/>
  <c r="D20" i="1"/>
  <c r="C20" i="1"/>
  <c r="B20" i="1"/>
  <c r="D19" i="1"/>
  <c r="D18" i="1"/>
  <c r="F5" i="6"/>
  <c r="G5" i="6"/>
  <c r="E5" i="6"/>
  <c r="B7" i="6"/>
  <c r="B8" i="6" s="1"/>
  <c r="K40" i="7"/>
  <c r="C33" i="7"/>
  <c r="C40" i="7" s="1"/>
  <c r="B33" i="7"/>
  <c r="B40" i="7" s="1"/>
  <c r="B47" i="7" s="1"/>
  <c r="Y29" i="7"/>
  <c r="Z29" i="7" s="1"/>
  <c r="U29" i="7"/>
  <c r="AG27" i="7"/>
  <c r="AH27" i="7" s="1"/>
  <c r="AF27" i="7"/>
  <c r="AG26" i="7"/>
  <c r="AH26" i="7" s="1"/>
  <c r="AF26" i="7"/>
  <c r="AD26" i="7"/>
  <c r="AE26" i="7" s="1"/>
  <c r="AC26" i="7"/>
  <c r="Y26" i="7"/>
  <c r="Y27" i="7" s="1"/>
  <c r="C26" i="7"/>
  <c r="N41" i="7" s="1"/>
  <c r="B26" i="7"/>
  <c r="I19" i="7" s="1"/>
  <c r="AG25" i="7"/>
  <c r="AH25" i="7" s="1"/>
  <c r="AF25" i="7"/>
  <c r="AD25" i="7"/>
  <c r="AD27" i="7" s="1"/>
  <c r="AC25" i="7"/>
  <c r="AC27" i="7" s="1"/>
  <c r="Y25" i="7"/>
  <c r="C25" i="7"/>
  <c r="C32" i="7" s="1"/>
  <c r="B25" i="7"/>
  <c r="B32" i="7" s="1"/>
  <c r="B22" i="7"/>
  <c r="C21" i="7"/>
  <c r="B21" i="7"/>
  <c r="C20" i="7"/>
  <c r="D20" i="7" s="1"/>
  <c r="E20" i="7" s="1"/>
  <c r="B20" i="7"/>
  <c r="D19" i="7"/>
  <c r="E19" i="7" s="1"/>
  <c r="J18" i="7"/>
  <c r="K18" i="7" s="1"/>
  <c r="L18" i="7" s="1"/>
  <c r="I18" i="7"/>
  <c r="W25" i="7" s="1"/>
  <c r="E18" i="7"/>
  <c r="D18" i="7"/>
  <c r="L20" i="2"/>
  <c r="K20" i="2"/>
  <c r="J20" i="2"/>
  <c r="I20" i="2"/>
  <c r="L19" i="2"/>
  <c r="K19" i="2"/>
  <c r="Y26" i="1"/>
  <c r="Y25" i="1"/>
  <c r="AD26" i="1"/>
  <c r="AD25" i="1"/>
  <c r="AC26" i="1"/>
  <c r="AC25" i="1"/>
  <c r="AC27" i="1" s="1"/>
  <c r="J29" i="2"/>
  <c r="K29" i="2" s="1"/>
  <c r="L29" i="2" s="1"/>
  <c r="I29" i="2"/>
  <c r="L22" i="2"/>
  <c r="K22" i="2"/>
  <c r="J26" i="2"/>
  <c r="K26" i="2" s="1"/>
  <c r="L26" i="2" s="1"/>
  <c r="I26" i="2"/>
  <c r="D26" i="2"/>
  <c r="C26" i="2"/>
  <c r="E29" i="2"/>
  <c r="F29" i="2" s="1"/>
  <c r="K14" i="2"/>
  <c r="L14" i="2" s="1"/>
  <c r="E14" i="2"/>
  <c r="F14" i="2" s="1"/>
  <c r="E11" i="2"/>
  <c r="F11" i="2" s="1"/>
  <c r="C26" i="1"/>
  <c r="S26" i="1" s="1"/>
  <c r="U26" i="1" s="1"/>
  <c r="B26" i="1"/>
  <c r="AF26" i="1" s="1"/>
  <c r="C25" i="1"/>
  <c r="B25" i="1"/>
  <c r="Y30" i="7" l="1"/>
  <c r="I20" i="7"/>
  <c r="W27" i="7" s="1"/>
  <c r="B39" i="7"/>
  <c r="B34" i="7"/>
  <c r="C47" i="7"/>
  <c r="D47" i="7" s="1"/>
  <c r="D40" i="7"/>
  <c r="E40" i="7" s="1"/>
  <c r="W26" i="7"/>
  <c r="O41" i="7"/>
  <c r="P41" i="7" s="1"/>
  <c r="C39" i="7"/>
  <c r="C34" i="7"/>
  <c r="D34" i="7" s="1"/>
  <c r="E34" i="7" s="1"/>
  <c r="D32" i="7"/>
  <c r="E32" i="7" s="1"/>
  <c r="AE27" i="7"/>
  <c r="AE25" i="7"/>
  <c r="O40" i="7"/>
  <c r="J40" i="7"/>
  <c r="L40" i="7" s="1"/>
  <c r="B27" i="7"/>
  <c r="N40" i="7"/>
  <c r="P40" i="7" s="1"/>
  <c r="C22" i="7"/>
  <c r="C27" i="7"/>
  <c r="D33" i="7"/>
  <c r="E33" i="7" s="1"/>
  <c r="J19" i="7"/>
  <c r="D26" i="7"/>
  <c r="E26" i="7" s="1"/>
  <c r="D25" i="7"/>
  <c r="E25" i="7" s="1"/>
  <c r="S26" i="7"/>
  <c r="U26" i="7" s="1"/>
  <c r="S25" i="7"/>
  <c r="U25" i="7" s="1"/>
  <c r="K41" i="7"/>
  <c r="K42" i="7" s="1"/>
  <c r="Z26" i="7"/>
  <c r="B21" i="1"/>
  <c r="AE25" i="1"/>
  <c r="C21" i="1"/>
  <c r="AD27" i="1"/>
  <c r="AE27" i="1" s="1"/>
  <c r="AG26" i="1"/>
  <c r="AH26" i="1" s="1"/>
  <c r="U29" i="1"/>
  <c r="Y29" i="1" s="1"/>
  <c r="Z29" i="1" s="1"/>
  <c r="S27" i="1"/>
  <c r="B22" i="1"/>
  <c r="AE26" i="1"/>
  <c r="C22" i="1"/>
  <c r="AF25" i="1"/>
  <c r="AF27" i="1" s="1"/>
  <c r="S25" i="1"/>
  <c r="U25" i="1" s="1"/>
  <c r="U27" i="1" s="1"/>
  <c r="AG25" i="1"/>
  <c r="Z26" i="1"/>
  <c r="Y27" i="1"/>
  <c r="E26" i="2"/>
  <c r="F26" i="2" s="1"/>
  <c r="K11" i="2"/>
  <c r="L11" i="2" s="1"/>
  <c r="Z25" i="7" l="1"/>
  <c r="U27" i="7"/>
  <c r="B41" i="7"/>
  <c r="B48" i="7" s="1"/>
  <c r="B46" i="7"/>
  <c r="D39" i="7"/>
  <c r="E39" i="7" s="1"/>
  <c r="C41" i="7"/>
  <c r="C46" i="7"/>
  <c r="D46" i="7" s="1"/>
  <c r="J41" i="7"/>
  <c r="L41" i="7" s="1"/>
  <c r="K19" i="7"/>
  <c r="L19" i="7" s="1"/>
  <c r="S27" i="7"/>
  <c r="D27" i="7"/>
  <c r="E27" i="7" s="1"/>
  <c r="J20" i="7"/>
  <c r="K20" i="7" s="1"/>
  <c r="L20" i="7" s="1"/>
  <c r="P42" i="7"/>
  <c r="L42" i="7"/>
  <c r="J42" i="7" s="1"/>
  <c r="W26" i="1"/>
  <c r="Z25" i="1"/>
  <c r="W27" i="1"/>
  <c r="Z27" i="1"/>
  <c r="W25" i="1"/>
  <c r="AH25" i="1"/>
  <c r="AG27" i="1"/>
  <c r="AH27" i="1" s="1"/>
  <c r="Q42" i="7" l="1"/>
  <c r="C48" i="7"/>
  <c r="D48" i="7" s="1"/>
  <c r="D41" i="7"/>
  <c r="E41" i="7" s="1"/>
  <c r="U30" i="7"/>
  <c r="Z27" i="7"/>
  <c r="Y31" i="7" s="1"/>
  <c r="Z28" i="1"/>
  <c r="U31" i="7" l="1"/>
  <c r="Z31" i="7"/>
  <c r="Z28" i="7"/>
  <c r="Z30" i="7"/>
</calcChain>
</file>

<file path=xl/sharedStrings.xml><?xml version="1.0" encoding="utf-8"?>
<sst xmlns="http://schemas.openxmlformats.org/spreadsheetml/2006/main" count="334" uniqueCount="125">
  <si>
    <t>Crecimiento en $</t>
  </si>
  <si>
    <t>Crecimiento</t>
  </si>
  <si>
    <t xml:space="preserve">Crecimiento en Dólares </t>
  </si>
  <si>
    <t>Producto 1</t>
  </si>
  <si>
    <t>Producto 2</t>
  </si>
  <si>
    <t>Año 2023</t>
  </si>
  <si>
    <t>Año 2024</t>
  </si>
  <si>
    <t>Crecimiento  Porcentual</t>
  </si>
  <si>
    <t>Crecimiento en Cajas</t>
  </si>
  <si>
    <t>Empresa ACME 
Análisis de crecimiento en dólares</t>
  </si>
  <si>
    <t>Empresa ACME 
Análisis de crecimiento en cajas</t>
  </si>
  <si>
    <t>Decrecimiento</t>
  </si>
  <si>
    <t>Análisis</t>
  </si>
  <si>
    <t>Empresa ACME 
Análisis de crecimiento del costo de ventas</t>
  </si>
  <si>
    <t>Crecimiento en costo de ventas total</t>
  </si>
  <si>
    <t>Empresa ACME 
Análisis de crecimiento del margen de contribución</t>
  </si>
  <si>
    <t>Empresa ACME 
Análisis de porcentaje de margen de contribución</t>
  </si>
  <si>
    <t>Crecimiento en el porcentaje de margen</t>
  </si>
  <si>
    <t>Total Margen Porcentual Empresa</t>
  </si>
  <si>
    <t>Total Crecimiento Costo de Ventas Empresa</t>
  </si>
  <si>
    <t>Total Crecimiento de Ventas en Cajas  Empresa</t>
  </si>
  <si>
    <t>Total Crecimiento Ventas en US$ Empresa</t>
  </si>
  <si>
    <t>Total Crecimiento Margen Total en US$ Empresa</t>
  </si>
  <si>
    <t>Producto</t>
  </si>
  <si>
    <t>Chocolates</t>
  </si>
  <si>
    <t>Venta año 1 en $</t>
  </si>
  <si>
    <t>Venta año 2 en $</t>
  </si>
  <si>
    <t>Resultado crecimiento en $</t>
  </si>
  <si>
    <t>Resultado crecimiento en %</t>
  </si>
  <si>
    <t>Venta año 1 en cajas</t>
  </si>
  <si>
    <t>Venta año 2 en cajas</t>
  </si>
  <si>
    <t>Resultado crecimiento en cajas</t>
  </si>
  <si>
    <t>Ejercicio 1</t>
  </si>
  <si>
    <t>Ejercicio 2</t>
  </si>
  <si>
    <t>Vestidos</t>
  </si>
  <si>
    <t>Precio Promedio año 1</t>
  </si>
  <si>
    <t>Precio Promedio año 2</t>
  </si>
  <si>
    <t>$ 525 / 350</t>
  </si>
  <si>
    <t>$ 640 / 400</t>
  </si>
  <si>
    <t>Ejemplo del cálculo de precio promedio</t>
  </si>
  <si>
    <t>$ 108,507.75 / 14,925</t>
  </si>
  <si>
    <t>$ 116,174.52/15,367</t>
  </si>
  <si>
    <t>Objetivo</t>
  </si>
  <si>
    <t>Fecha de Inicio</t>
  </si>
  <si>
    <t>Fecha de Finalización</t>
  </si>
  <si>
    <t>Recursos Necesarios</t>
  </si>
  <si>
    <t>Indicadores de Éxito</t>
  </si>
  <si>
    <t>Estado</t>
  </si>
  <si>
    <t>Incremento del 10% en ventas</t>
  </si>
  <si>
    <t>Planificado</t>
  </si>
  <si>
    <t>Análisis Realizado</t>
  </si>
  <si>
    <t>Ventas han disminuído un 15%</t>
  </si>
  <si>
    <t>Causa Raíz</t>
  </si>
  <si>
    <t>1. Fillrate 75% Fillrate meta 95%
2.- No hay publicidad adecuada en redes sociales
3.- Necesidad de mejorar negociaciones con comprador haciendo una mejor propuesta comercial</t>
  </si>
  <si>
    <t>Acciones</t>
  </si>
  <si>
    <t>Planificación de la producción</t>
  </si>
  <si>
    <t>2.- Mejorar la calidad de las publicaciones en redes sociales</t>
  </si>
  <si>
    <t>Mercadeo</t>
  </si>
  <si>
    <t>Area de Trabajo</t>
  </si>
  <si>
    <t>Persona responsable</t>
  </si>
  <si>
    <t>1.- Mejorar Fillrate por medio de mejorar el procedimiento de programación de la producción</t>
  </si>
  <si>
    <t>Gerencia General</t>
  </si>
  <si>
    <t>3.- Elaborar propuesta de crecimiento para presentar a comprador (6 diapositivas)</t>
  </si>
  <si>
    <t>Ventas</t>
  </si>
  <si>
    <t>Jefe de ventas y Gerencia General</t>
  </si>
  <si>
    <t>Jefe de Planta y Gerencia General</t>
  </si>
  <si>
    <t xml:space="preserve">Armar cuadro en excel </t>
  </si>
  <si>
    <t>1.- recibir formación 
2.- contratar un asesor en redes sociales
3.- Crear campaña
4.- Asignar presupuesto para creación de contenido y publicaciones</t>
  </si>
  <si>
    <t>En proceso</t>
  </si>
  <si>
    <t>1.- Crear plan de crecimiento
2.- Elaborar propuesta en formato 6 diapositivas</t>
  </si>
  <si>
    <t>Aumentar ventas en un 10% respecto al año anterior como meta de presupuesto</t>
  </si>
  <si>
    <t>Total Crecimiento precio promedio en $</t>
  </si>
  <si>
    <t>Empresa ACME 
Análisis de crecimiento en precios promedio en dólares</t>
  </si>
  <si>
    <t>Venta año 1 en unidades</t>
  </si>
  <si>
    <t>Venta año 2 en unidades</t>
  </si>
  <si>
    <t>Resultado crecimiento en unidades</t>
  </si>
  <si>
    <t>Ventas en $ año 2023</t>
  </si>
  <si>
    <t>Ventas en $ año 2024</t>
  </si>
  <si>
    <t>Ventas en unidades 2023</t>
  </si>
  <si>
    <t>Ventas en unidades 2024</t>
  </si>
  <si>
    <t>% de crecimiento total en $</t>
  </si>
  <si>
    <t>EXPLICACION DEL CRECIMIENTO TOTAL</t>
  </si>
  <si>
    <t>Variación de los precios</t>
  </si>
  <si>
    <t>$13.74 - $12.74 = $ 1</t>
  </si>
  <si>
    <t>$8.50 - $ 9.54 = - $ 1.04</t>
  </si>
  <si>
    <t>Volumen 2024</t>
  </si>
  <si>
    <t>Variación $ por Volumen</t>
  </si>
  <si>
    <t>% Variación del volumen</t>
  </si>
  <si>
    <t>Cálculo</t>
  </si>
  <si>
    <t xml:space="preserve">Total = </t>
  </si>
  <si>
    <t>Precio 2023</t>
  </si>
  <si>
    <t>Variación del volumen</t>
  </si>
  <si>
    <t>2075 - 1984 = 91</t>
  </si>
  <si>
    <t>1326 -1349 = -23</t>
  </si>
  <si>
    <t>-23 * $ 9.54</t>
  </si>
  <si>
    <t>Variación total</t>
  </si>
  <si>
    <t>91 * $ 12.7448</t>
  </si>
  <si>
    <t>$2075 * $ 0.9995</t>
  </si>
  <si>
    <t>$ 1326 * - $ 1.0422</t>
  </si>
  <si>
    <t>Ventas base (2023)</t>
  </si>
  <si>
    <t>Variación Porcentual</t>
  </si>
  <si>
    <t>Variación financiera por volumen
(Diferencia de Volumen) x Precio 2023</t>
  </si>
  <si>
    <t>Variación financiera por precios
(Diferencia de Precios) x Volumen 2024</t>
  </si>
  <si>
    <t>% del crecimiento debido a la variación de precios</t>
  </si>
  <si>
    <t>% del crecimiento debido a la variación de volumen de las ventas</t>
  </si>
  <si>
    <t>Precio Promedio</t>
  </si>
  <si>
    <t>Enero año anterior (2024)</t>
  </si>
  <si>
    <t>Enero año actual (2025)</t>
  </si>
  <si>
    <t>Cálculo del Crecimiento</t>
  </si>
  <si>
    <t>Calcular el crecimiento entre enero 2024 y enero 2025</t>
  </si>
  <si>
    <t>Ventas US$</t>
  </si>
  <si>
    <t>LY</t>
  </si>
  <si>
    <t>CY</t>
  </si>
  <si>
    <t>Crecimiento %</t>
  </si>
  <si>
    <t>CRECIMIENTO</t>
  </si>
  <si>
    <t>1.- Aumento de venta en unidades</t>
  </si>
  <si>
    <t>2.- Aumento de precios</t>
  </si>
  <si>
    <t>3.- Aumento de unidades y aumento de precios</t>
  </si>
  <si>
    <t>4.- Aumento de clientes</t>
  </si>
  <si>
    <t>5.- Aumento de clientes, unidades y aumento de precios</t>
  </si>
  <si>
    <t>4.- Hacer un análisis integral del crecimiento de la empresa ACME</t>
  </si>
  <si>
    <t>Ejercicio Práctico Número 2</t>
  </si>
  <si>
    <t>1.- Establecer los crecimientos absolutos y porcentuales en dólares y cajas para cada producto</t>
  </si>
  <si>
    <t>2.- Establecer los precios promedio para cada producto y su crecimiento absoluto y porcentual</t>
  </si>
  <si>
    <t>3.- Establecer el crecimiento total absoluto y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</si>
</sst>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%"/>
    <numFmt numFmtId="167" formatCode="_-&quot;$&quot;* #,##0.0000_-;\-&quot;$&quot;* #,##0.00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BD5D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44" fontId="0" fillId="0" borderId="0" xfId="2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4" fontId="2" fillId="2" borderId="1" xfId="0" applyNumberFormat="1" applyFont="1" applyFill="1" applyBorder="1"/>
    <xf numFmtId="10" fontId="2" fillId="2" borderId="1" xfId="3" applyNumberFormat="1" applyFont="1" applyFill="1" applyBorder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2" fillId="2" borderId="1" xfId="2" applyFont="1" applyFill="1" applyBorder="1"/>
    <xf numFmtId="0" fontId="3" fillId="0" borderId="1" xfId="0" applyFont="1" applyBorder="1"/>
    <xf numFmtId="10" fontId="3" fillId="0" borderId="1" xfId="3" applyNumberFormat="1" applyFont="1" applyBorder="1"/>
    <xf numFmtId="164" fontId="2" fillId="0" borderId="1" xfId="3" applyNumberFormat="1" applyFont="1" applyBorder="1"/>
    <xf numFmtId="164" fontId="3" fillId="0" borderId="1" xfId="3" applyNumberFormat="1" applyFont="1" applyBorder="1"/>
    <xf numFmtId="0" fontId="2" fillId="0" borderId="1" xfId="0" applyFont="1" applyBorder="1" applyAlignment="1">
      <alignment horizontal="center"/>
    </xf>
    <xf numFmtId="44" fontId="3" fillId="0" borderId="1" xfId="2" applyFont="1" applyBorder="1"/>
    <xf numFmtId="165" fontId="2" fillId="0" borderId="1" xfId="1" applyNumberFormat="1" applyFont="1" applyBorder="1"/>
    <xf numFmtId="165" fontId="3" fillId="0" borderId="1" xfId="1" applyNumberFormat="1" applyFont="1" applyBorder="1"/>
    <xf numFmtId="165" fontId="2" fillId="2" borderId="1" xfId="1" applyNumberFormat="1" applyFont="1" applyFill="1" applyBorder="1"/>
    <xf numFmtId="4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3" fillId="2" borderId="1" xfId="3" applyNumberFormat="1" applyFont="1" applyFill="1" applyBorder="1"/>
    <xf numFmtId="165" fontId="3" fillId="2" borderId="1" xfId="1" applyNumberFormat="1" applyFont="1" applyFill="1" applyBorder="1"/>
    <xf numFmtId="10" fontId="3" fillId="2" borderId="1" xfId="3" applyNumberFormat="1" applyFont="1" applyFill="1" applyBorder="1"/>
    <xf numFmtId="0" fontId="0" fillId="0" borderId="1" xfId="0" applyBorder="1"/>
    <xf numFmtId="10" fontId="0" fillId="0" borderId="1" xfId="3" applyNumberFormat="1" applyFont="1" applyBorder="1"/>
    <xf numFmtId="44" fontId="0" fillId="0" borderId="1" xfId="2" applyFont="1" applyBorder="1"/>
    <xf numFmtId="44" fontId="2" fillId="0" borderId="1" xfId="2" applyFont="1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0" borderId="0" xfId="1" applyNumberFormat="1" applyFont="1"/>
    <xf numFmtId="44" fontId="2" fillId="7" borderId="1" xfId="2" applyFont="1" applyFill="1" applyBorder="1"/>
    <xf numFmtId="10" fontId="2" fillId="7" borderId="1" xfId="3" applyNumberFormat="1" applyFont="1" applyFill="1" applyBorder="1"/>
    <xf numFmtId="165" fontId="2" fillId="7" borderId="1" xfId="1" applyNumberFormat="1" applyFont="1" applyFill="1" applyBorder="1"/>
    <xf numFmtId="10" fontId="0" fillId="0" borderId="0" xfId="3" applyNumberFormat="1" applyFont="1"/>
    <xf numFmtId="10" fontId="2" fillId="0" borderId="1" xfId="3" applyNumberFormat="1" applyFont="1" applyBorder="1" applyAlignment="1">
      <alignment horizontal="center" vertical="center" wrapText="1"/>
    </xf>
    <xf numFmtId="44" fontId="2" fillId="4" borderId="1" xfId="2" applyFont="1" applyFill="1" applyBorder="1"/>
    <xf numFmtId="10" fontId="2" fillId="4" borderId="1" xfId="3" applyNumberFormat="1" applyFont="1" applyFill="1" applyBorder="1"/>
    <xf numFmtId="165" fontId="2" fillId="4" borderId="1" xfId="1" applyNumberFormat="1" applyFont="1" applyFill="1" applyBorder="1"/>
    <xf numFmtId="165" fontId="2" fillId="0" borderId="1" xfId="1" applyNumberFormat="1" applyFont="1" applyFill="1" applyBorder="1"/>
    <xf numFmtId="44" fontId="2" fillId="0" borderId="1" xfId="2" applyFont="1" applyFill="1" applyBorder="1"/>
    <xf numFmtId="10" fontId="2" fillId="0" borderId="1" xfId="3" applyNumberFormat="1" applyFont="1" applyFill="1" applyBorder="1"/>
    <xf numFmtId="44" fontId="0" fillId="0" borderId="1" xfId="2" applyNumberFormat="1" applyFont="1" applyBorder="1"/>
    <xf numFmtId="164" fontId="2" fillId="4" borderId="1" xfId="3" applyNumberFormat="1" applyFont="1" applyFill="1" applyBorder="1"/>
    <xf numFmtId="43" fontId="2" fillId="7" borderId="1" xfId="1" applyNumberFormat="1" applyFont="1" applyFill="1" applyBorder="1"/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6" fontId="0" fillId="0" borderId="1" xfId="0" applyNumberFormat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/>
    <xf numFmtId="43" fontId="4" fillId="0" borderId="0" xfId="0" applyNumberFormat="1" applyFont="1"/>
    <xf numFmtId="0" fontId="0" fillId="3" borderId="1" xfId="0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2" fillId="8" borderId="1" xfId="0" applyFont="1" applyFill="1" applyBorder="1" applyAlignment="1">
      <alignment vertical="center" wrapText="1"/>
    </xf>
    <xf numFmtId="10" fontId="3" fillId="0" borderId="1" xfId="1" applyNumberFormat="1" applyFont="1" applyBorder="1"/>
    <xf numFmtId="10" fontId="2" fillId="2" borderId="1" xfId="1" applyNumberFormat="1" applyFont="1" applyFill="1" applyBorder="1"/>
    <xf numFmtId="165" fontId="2" fillId="0" borderId="1" xfId="3" applyNumberFormat="1" applyFont="1" applyBorder="1"/>
    <xf numFmtId="165" fontId="2" fillId="2" borderId="1" xfId="3" applyNumberFormat="1" applyFont="1" applyFill="1" applyBorder="1"/>
    <xf numFmtId="0" fontId="2" fillId="9" borderId="1" xfId="0" applyFont="1" applyFill="1" applyBorder="1" applyAlignment="1">
      <alignment vertical="center" wrapText="1"/>
    </xf>
    <xf numFmtId="10" fontId="2" fillId="9" borderId="1" xfId="3" applyNumberFormat="1" applyFont="1" applyFill="1" applyBorder="1"/>
    <xf numFmtId="10" fontId="3" fillId="9" borderId="1" xfId="1" applyNumberFormat="1" applyFont="1" applyFill="1" applyBorder="1"/>
    <xf numFmtId="0" fontId="2" fillId="0" borderId="1" xfId="0" applyFont="1" applyFill="1" applyBorder="1" applyAlignment="1">
      <alignment vertical="center" wrapText="1"/>
    </xf>
    <xf numFmtId="44" fontId="0" fillId="0" borderId="0" xfId="0" applyNumberFormat="1"/>
    <xf numFmtId="165" fontId="0" fillId="0" borderId="0" xfId="0" applyNumberFormat="1"/>
    <xf numFmtId="166" fontId="0" fillId="0" borderId="0" xfId="3" applyNumberFormat="1" applyFont="1"/>
    <xf numFmtId="10" fontId="2" fillId="9" borderId="1" xfId="1" applyNumberFormat="1" applyFont="1" applyFill="1" applyBorder="1" applyAlignment="1">
      <alignment wrapText="1"/>
    </xf>
    <xf numFmtId="0" fontId="0" fillId="0" borderId="1" xfId="0" quotePrefix="1" applyBorder="1"/>
    <xf numFmtId="167" fontId="0" fillId="0" borderId="0" xfId="0" applyNumberFormat="1"/>
    <xf numFmtId="167" fontId="2" fillId="0" borderId="1" xfId="2" applyNumberFormat="1" applyFont="1" applyBorder="1"/>
    <xf numFmtId="167" fontId="3" fillId="0" borderId="1" xfId="2" applyNumberFormat="1" applyFont="1" applyBorder="1"/>
    <xf numFmtId="167" fontId="2" fillId="2" borderId="1" xfId="2" applyNumberFormat="1" applyFont="1" applyFill="1" applyBorder="1"/>
    <xf numFmtId="44" fontId="0" fillId="0" borderId="1" xfId="0" applyNumberFormat="1" applyBorder="1"/>
    <xf numFmtId="10" fontId="2" fillId="3" borderId="1" xfId="1" applyNumberFormat="1" applyFont="1" applyFill="1" applyBorder="1"/>
    <xf numFmtId="44" fontId="0" fillId="0" borderId="5" xfId="0" applyNumberFormat="1" applyBorder="1"/>
    <xf numFmtId="10" fontId="0" fillId="0" borderId="9" xfId="3" applyNumberFormat="1" applyFont="1" applyBorder="1" applyAlignment="1">
      <alignment vertical="center"/>
    </xf>
    <xf numFmtId="10" fontId="0" fillId="3" borderId="9" xfId="3" applyNumberFormat="1" applyFont="1" applyFill="1" applyBorder="1" applyAlignment="1">
      <alignment vertical="center"/>
    </xf>
    <xf numFmtId="0" fontId="2" fillId="10" borderId="3" xfId="0" applyFont="1" applyFill="1" applyBorder="1" applyAlignment="1">
      <alignment vertical="center" wrapText="1"/>
    </xf>
    <xf numFmtId="10" fontId="0" fillId="4" borderId="9" xfId="3" applyNumberFormat="1" applyFont="1" applyFill="1" applyBorder="1" applyAlignment="1">
      <alignment vertical="center"/>
    </xf>
    <xf numFmtId="164" fontId="0" fillId="0" borderId="5" xfId="3" applyNumberFormat="1" applyFont="1" applyBorder="1"/>
    <xf numFmtId="164" fontId="0" fillId="0" borderId="5" xfId="0" applyNumberFormat="1" applyBorder="1"/>
    <xf numFmtId="0" fontId="2" fillId="3" borderId="1" xfId="0" applyFont="1" applyFill="1" applyBorder="1"/>
    <xf numFmtId="0" fontId="2" fillId="3" borderId="0" xfId="0" applyFont="1" applyFill="1"/>
    <xf numFmtId="0" fontId="0" fillId="3" borderId="0" xfId="0" applyFill="1"/>
    <xf numFmtId="0" fontId="0" fillId="0" borderId="1" xfId="0" applyFill="1" applyBorder="1"/>
    <xf numFmtId="44" fontId="0" fillId="3" borderId="1" xfId="2" applyFont="1" applyFill="1" applyBorder="1"/>
    <xf numFmtId="0" fontId="0" fillId="0" borderId="0" xfId="0" applyFont="1" applyBorder="1" applyAlignment="1">
      <alignment horizontal="center" wrapText="1"/>
    </xf>
    <xf numFmtId="0" fontId="0" fillId="0" borderId="0" xfId="0" applyFont="1"/>
    <xf numFmtId="44" fontId="0" fillId="0" borderId="0" xfId="0" applyNumberFormat="1" applyFont="1" applyBorder="1"/>
    <xf numFmtId="0" fontId="0" fillId="0" borderId="0" xfId="0" applyFont="1" applyBorder="1" applyAlignment="1">
      <alignment horizontal="center" vertical="center" wrapText="1"/>
    </xf>
    <xf numFmtId="44" fontId="0" fillId="0" borderId="0" xfId="0" applyNumberFormat="1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3" borderId="0" xfId="0" applyFont="1" applyFill="1"/>
    <xf numFmtId="0" fontId="2" fillId="3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10" fontId="0" fillId="0" borderId="6" xfId="3" applyNumberFormat="1" applyFont="1" applyBorder="1" applyAlignment="1">
      <alignment horizontal="center"/>
    </xf>
    <xf numFmtId="10" fontId="0" fillId="0" borderId="7" xfId="3" applyNumberFormat="1" applyFont="1" applyBorder="1" applyAlignment="1">
      <alignment horizontal="center"/>
    </xf>
    <xf numFmtId="10" fontId="0" fillId="0" borderId="8" xfId="3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6" fontId="5" fillId="0" borderId="0" xfId="3" applyNumberFormat="1" applyFont="1"/>
    <xf numFmtId="10" fontId="2" fillId="3" borderId="1" xfId="3" applyNumberFormat="1" applyFont="1" applyFill="1" applyBorder="1"/>
    <xf numFmtId="10" fontId="3" fillId="3" borderId="1" xfId="3" applyNumberFormat="1" applyFont="1" applyFill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2" defaultPivotStyle="PivotStyleLight16">
    <tableStyle name="Invisible" pivot="0" table="0" count="0" xr9:uid="{77BB0B54-C6D2-4A2E-8F5A-CFC73045A7BB}"/>
  </tableStyles>
  <colors>
    <mruColors>
      <color rgb="FF00FF99"/>
      <color rgb="FFFBD5DA"/>
      <color rgb="FFF59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val">
        <cx:f dir="row">_xlchart.v1.1</cx:f>
      </cx:numDim>
    </cx:data>
  </cx:chartData>
  <cx:chart>
    <cx:title pos="t" align="ctr" overlay="0">
      <cx:tx>
        <cx:txData>
          <cx:v>Crecimiento en US$ 2025 vs 2024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Crecimiento en US$ 2025 vs 2024</a:t>
          </a:r>
        </a:p>
      </cx:txPr>
    </cx:title>
    <cx:plotArea>
      <cx:plotAreaRegion>
        <cx:series layoutId="waterfall" uniqueId="{D44B6C89-6EE9-46DA-8E72-752C97C686EF}">
          <cx:dataLabels pos="outEnd">
            <cx:visibility seriesName="0" categoryName="0" value="1"/>
          </cx:dataLabels>
          <cx:dataId val="0"/>
          <cx:layoutPr>
            <cx:visibility connectorLines="1"/>
            <cx:subtotals>
              <cx:idx val="0"/>
              <cx:idx val="2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284871</xdr:colOff>
      <xdr:row>5</xdr:row>
      <xdr:rowOff>140677</xdr:rowOff>
    </xdr:from>
    <xdr:to>
      <xdr:col>8</xdr:col>
      <xdr:colOff>678767</xdr:colOff>
      <xdr:row>20</xdr:row>
      <xdr:rowOff>140677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88A79F0C-12A5-64B2-A50A-D6D3F3F02A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75185" y="105507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DD73-C954-4D6A-96AC-DC5D9F02C71D}">
  <dimension ref="A2:K11"/>
  <sheetViews>
    <sheetView workbookViewId="0">
      <selection activeCell="B15" sqref="B15"/>
    </sheetView>
  </sheetViews>
  <sheetFormatPr baseColWidth="10" defaultRowHeight="14.4" x14ac:dyDescent="0.3"/>
  <cols>
    <col min="1" max="1" width="25.796875" bestFit="1" customWidth="1"/>
    <col min="4" max="5" width="11.19921875" style="93"/>
    <col min="6" max="6" width="13.296875" style="93" customWidth="1"/>
    <col min="7" max="7" width="12.5" style="93" bestFit="1" customWidth="1"/>
    <col min="8" max="11" width="11.19921875" style="93"/>
  </cols>
  <sheetData>
    <row r="2" spans="1:10" x14ac:dyDescent="0.3">
      <c r="A2" s="88" t="s">
        <v>109</v>
      </c>
      <c r="B2" s="89"/>
      <c r="C2" s="89"/>
    </row>
    <row r="4" spans="1:10" x14ac:dyDescent="0.3">
      <c r="A4" s="16" t="s">
        <v>108</v>
      </c>
      <c r="B4" s="16" t="s">
        <v>110</v>
      </c>
      <c r="C4" s="27"/>
      <c r="D4" s="92"/>
      <c r="E4" s="95" t="s">
        <v>111</v>
      </c>
      <c r="F4" s="92" t="s">
        <v>114</v>
      </c>
      <c r="G4" s="98" t="s">
        <v>112</v>
      </c>
    </row>
    <row r="5" spans="1:10" x14ac:dyDescent="0.3">
      <c r="A5" s="27" t="s">
        <v>106</v>
      </c>
      <c r="B5" s="29">
        <v>1000</v>
      </c>
      <c r="C5" s="27" t="s">
        <v>111</v>
      </c>
      <c r="D5" s="94"/>
      <c r="E5" s="94">
        <f>B5</f>
        <v>1000</v>
      </c>
      <c r="F5" s="94">
        <f>G5-E5</f>
        <v>275</v>
      </c>
      <c r="G5" s="96">
        <f>B6</f>
        <v>1275</v>
      </c>
      <c r="H5" s="96"/>
    </row>
    <row r="6" spans="1:10" x14ac:dyDescent="0.3">
      <c r="A6" s="27" t="s">
        <v>107</v>
      </c>
      <c r="B6" s="29">
        <v>1275</v>
      </c>
      <c r="C6" s="27" t="s">
        <v>112</v>
      </c>
      <c r="D6" s="97"/>
      <c r="E6" s="97"/>
      <c r="F6" s="97"/>
    </row>
    <row r="7" spans="1:10" x14ac:dyDescent="0.3">
      <c r="A7" s="27" t="s">
        <v>0</v>
      </c>
      <c r="B7" s="91">
        <f>B6-B5</f>
        <v>275</v>
      </c>
      <c r="C7" s="27"/>
      <c r="D7" s="97"/>
      <c r="E7" s="97"/>
      <c r="F7" s="97"/>
      <c r="J7" s="99" t="s">
        <v>115</v>
      </c>
    </row>
    <row r="8" spans="1:10" x14ac:dyDescent="0.3">
      <c r="A8" s="90" t="s">
        <v>113</v>
      </c>
      <c r="B8" s="28">
        <f>B7/B5</f>
        <v>0.27500000000000002</v>
      </c>
      <c r="C8" s="27"/>
      <c r="J8" s="93" t="s">
        <v>116</v>
      </c>
    </row>
    <row r="9" spans="1:10" x14ac:dyDescent="0.3">
      <c r="J9" s="93" t="s">
        <v>117</v>
      </c>
    </row>
    <row r="10" spans="1:10" x14ac:dyDescent="0.3">
      <c r="J10" s="99" t="s">
        <v>118</v>
      </c>
    </row>
    <row r="11" spans="1:10" x14ac:dyDescent="0.3">
      <c r="J11" s="93" t="s">
        <v>119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910E1-2A02-4174-BFBF-8DEE130A9FFD}">
  <dimension ref="A3:AH29"/>
  <sheetViews>
    <sheetView showGridLines="0" tabSelected="1" topLeftCell="A15" workbookViewId="0">
      <selection activeCell="G16" sqref="G16"/>
    </sheetView>
  </sheetViews>
  <sheetFormatPr baseColWidth="10" defaultRowHeight="14.4" x14ac:dyDescent="0.3"/>
  <cols>
    <col min="1" max="1" width="23.69921875" bestFit="1" customWidth="1"/>
    <col min="6" max="6" width="13" bestFit="1" customWidth="1"/>
    <col min="8" max="8" width="20.8984375" bestFit="1" customWidth="1"/>
    <col min="10" max="10" width="12.296875" bestFit="1" customWidth="1"/>
    <col min="13" max="13" width="13.09765625" bestFit="1" customWidth="1"/>
    <col min="14" max="14" width="10.296875" customWidth="1"/>
    <col min="18" max="18" width="22.69921875" bestFit="1" customWidth="1"/>
    <col min="20" max="20" width="16.59765625" bestFit="1" customWidth="1"/>
    <col min="22" max="22" width="20.19921875" bestFit="1" customWidth="1"/>
    <col min="26" max="26" width="13" bestFit="1" customWidth="1"/>
    <col min="28" max="28" width="51.59765625" customWidth="1"/>
  </cols>
  <sheetData>
    <row r="3" spans="1:13" x14ac:dyDescent="0.3">
      <c r="A3" s="2" t="s">
        <v>121</v>
      </c>
    </row>
    <row r="4" spans="1:13" x14ac:dyDescent="0.3">
      <c r="A4" t="s">
        <v>122</v>
      </c>
    </row>
    <row r="5" spans="1:13" x14ac:dyDescent="0.3">
      <c r="A5" t="s">
        <v>123</v>
      </c>
    </row>
    <row r="6" spans="1:13" x14ac:dyDescent="0.3">
      <c r="A6" t="s">
        <v>124</v>
      </c>
    </row>
    <row r="7" spans="1:13" x14ac:dyDescent="0.3">
      <c r="A7" t="s">
        <v>120</v>
      </c>
    </row>
    <row r="16" spans="1:13" ht="35.450000000000003" customHeight="1" x14ac:dyDescent="0.3">
      <c r="A16" s="102" t="s">
        <v>9</v>
      </c>
      <c r="B16" s="102"/>
      <c r="C16" s="102"/>
      <c r="D16" s="102"/>
      <c r="E16" s="102"/>
      <c r="F16" s="102"/>
      <c r="H16" s="100" t="s">
        <v>72</v>
      </c>
      <c r="I16" s="100"/>
      <c r="J16" s="100"/>
      <c r="K16" s="100"/>
      <c r="L16" s="100"/>
      <c r="M16" s="100"/>
    </row>
    <row r="17" spans="1:34" ht="28.8" x14ac:dyDescent="0.3">
      <c r="A17" s="3" t="s">
        <v>2</v>
      </c>
      <c r="B17" s="4" t="s">
        <v>5</v>
      </c>
      <c r="C17" s="4" t="s">
        <v>6</v>
      </c>
      <c r="D17" s="5" t="s">
        <v>0</v>
      </c>
      <c r="E17" s="5" t="s">
        <v>7</v>
      </c>
      <c r="F17" s="16" t="s">
        <v>12</v>
      </c>
      <c r="H17" s="22"/>
      <c r="I17" s="4" t="s">
        <v>5</v>
      </c>
      <c r="J17" s="4" t="s">
        <v>6</v>
      </c>
      <c r="K17" s="5" t="s">
        <v>0</v>
      </c>
      <c r="L17" s="60" t="s">
        <v>7</v>
      </c>
      <c r="M17" s="16" t="s">
        <v>12</v>
      </c>
    </row>
    <row r="18" spans="1:34" x14ac:dyDescent="0.3">
      <c r="A18" s="8" t="s">
        <v>3</v>
      </c>
      <c r="B18" s="9">
        <v>25285.75</v>
      </c>
      <c r="C18" s="9">
        <v>28519.54</v>
      </c>
      <c r="D18" s="9">
        <f>C18-B18</f>
        <v>3233.7900000000009</v>
      </c>
      <c r="E18" s="117">
        <f>D18/B18</f>
        <v>0.12788981936466196</v>
      </c>
      <c r="F18" s="8"/>
      <c r="G18" s="36">
        <f>C18/C20</f>
        <v>0.7167240658311117</v>
      </c>
      <c r="H18" s="8" t="s">
        <v>3</v>
      </c>
      <c r="I18" s="9">
        <f>B18/B25</f>
        <v>12.744833669354838</v>
      </c>
      <c r="J18" s="9">
        <f>C18/C25</f>
        <v>13.744356626506024</v>
      </c>
      <c r="K18" s="75">
        <f>J18-I18</f>
        <v>0.99952295715118566</v>
      </c>
      <c r="L18" s="10">
        <f>K18/I18</f>
        <v>7.8425735720235798E-2</v>
      </c>
      <c r="M18" s="8"/>
    </row>
    <row r="19" spans="1:34" x14ac:dyDescent="0.3">
      <c r="A19" s="8" t="s">
        <v>4</v>
      </c>
      <c r="B19" s="9">
        <v>12873.44</v>
      </c>
      <c r="C19" s="9">
        <v>11271.98</v>
      </c>
      <c r="D19" s="17">
        <f>C19-B19</f>
        <v>-1601.4600000000009</v>
      </c>
      <c r="E19" s="118">
        <f>D19/B19</f>
        <v>-0.12440031568873594</v>
      </c>
      <c r="F19" s="8"/>
      <c r="G19" s="36">
        <f>C19/C20</f>
        <v>0.28327593416888819</v>
      </c>
      <c r="H19" s="8" t="s">
        <v>4</v>
      </c>
      <c r="I19" s="9">
        <f>+B19/B26</f>
        <v>9.5429503335804302</v>
      </c>
      <c r="J19" s="9">
        <f>C19/C26</f>
        <v>8.5007390648567114</v>
      </c>
      <c r="K19" s="76">
        <f>J19-I19</f>
        <v>-1.0422112687237188</v>
      </c>
      <c r="L19" s="13">
        <f>K19/I19</f>
        <v>-0.109212689188616</v>
      </c>
      <c r="M19" s="8"/>
    </row>
    <row r="20" spans="1:34" ht="28.8" x14ac:dyDescent="0.3">
      <c r="A20" s="23" t="s">
        <v>21</v>
      </c>
      <c r="B20" s="6">
        <f>+B18+B19</f>
        <v>38159.19</v>
      </c>
      <c r="C20" s="6">
        <f>C18+C19</f>
        <v>39791.520000000004</v>
      </c>
      <c r="D20" s="11">
        <f>C20-B20</f>
        <v>1632.3300000000017</v>
      </c>
      <c r="E20" s="7">
        <f>D20/B20</f>
        <v>4.277685139543061E-2</v>
      </c>
      <c r="F20" s="8"/>
      <c r="H20" s="23" t="s">
        <v>71</v>
      </c>
      <c r="I20" s="6">
        <f>B20/B27</f>
        <v>11.448901890189019</v>
      </c>
      <c r="J20" s="6">
        <f>C20/C27</f>
        <v>11.699947074389886</v>
      </c>
      <c r="K20" s="77">
        <f>J20-I20</f>
        <v>0.25104518420086741</v>
      </c>
      <c r="L20" s="7">
        <f>K20/I20</f>
        <v>2.1927446545419102E-2</v>
      </c>
      <c r="M20" s="8"/>
    </row>
    <row r="21" spans="1:34" s="54" customFormat="1" x14ac:dyDescent="0.3">
      <c r="B21" s="55">
        <f>+B18/B25</f>
        <v>12.744833669354838</v>
      </c>
      <c r="C21" s="55">
        <f>+C18/C25</f>
        <v>13.744356626506024</v>
      </c>
      <c r="E21" s="116"/>
      <c r="I21" s="55"/>
      <c r="J21" s="55"/>
    </row>
    <row r="22" spans="1:34" s="54" customFormat="1" x14ac:dyDescent="0.3">
      <c r="B22" s="55">
        <f>+B19/B26</f>
        <v>9.5429503335804302</v>
      </c>
      <c r="C22" s="55">
        <f>+C19/C26</f>
        <v>8.5007390648567114</v>
      </c>
      <c r="I22" s="55"/>
      <c r="J22" s="55"/>
    </row>
    <row r="23" spans="1:34" ht="35.450000000000003" customHeight="1" x14ac:dyDescent="0.3">
      <c r="A23" s="102" t="s">
        <v>10</v>
      </c>
      <c r="B23" s="102"/>
      <c r="C23" s="102"/>
      <c r="D23" s="102"/>
      <c r="E23" s="102"/>
      <c r="F23" s="102"/>
      <c r="R23" s="101" t="s">
        <v>102</v>
      </c>
      <c r="S23" s="101"/>
      <c r="T23" s="101"/>
      <c r="U23" s="101"/>
      <c r="V23" s="103" t="s">
        <v>101</v>
      </c>
      <c r="W23" s="104"/>
      <c r="X23" s="104"/>
      <c r="Y23" s="104"/>
      <c r="Z23" s="83"/>
      <c r="AB23" s="101" t="s">
        <v>81</v>
      </c>
      <c r="AC23" s="101"/>
      <c r="AD23" s="101"/>
      <c r="AE23" s="101"/>
      <c r="AF23" s="101"/>
      <c r="AG23" s="101"/>
      <c r="AH23" s="101"/>
    </row>
    <row r="24" spans="1:34" ht="43.2" x14ac:dyDescent="0.3">
      <c r="A24" s="3" t="s">
        <v>8</v>
      </c>
      <c r="B24" s="4" t="s">
        <v>5</v>
      </c>
      <c r="C24" s="4" t="s">
        <v>6</v>
      </c>
      <c r="D24" s="5" t="s">
        <v>8</v>
      </c>
      <c r="E24" s="5" t="s">
        <v>7</v>
      </c>
      <c r="F24" s="16" t="s">
        <v>12</v>
      </c>
      <c r="R24" s="65" t="s">
        <v>82</v>
      </c>
      <c r="S24" s="68" t="s">
        <v>85</v>
      </c>
      <c r="T24" s="4" t="s">
        <v>88</v>
      </c>
      <c r="U24" s="68" t="s">
        <v>86</v>
      </c>
      <c r="V24" s="65" t="s">
        <v>91</v>
      </c>
      <c r="W24" s="68" t="s">
        <v>90</v>
      </c>
      <c r="X24" s="4" t="s">
        <v>88</v>
      </c>
      <c r="Y24" s="68" t="s">
        <v>86</v>
      </c>
      <c r="Z24" s="4" t="s">
        <v>95</v>
      </c>
      <c r="AB24" s="3"/>
      <c r="AC24" s="5" t="s">
        <v>76</v>
      </c>
      <c r="AD24" s="5" t="s">
        <v>77</v>
      </c>
      <c r="AE24" s="5" t="s">
        <v>80</v>
      </c>
      <c r="AF24" s="5" t="s">
        <v>78</v>
      </c>
      <c r="AG24" s="5" t="s">
        <v>79</v>
      </c>
      <c r="AH24" s="5" t="s">
        <v>87</v>
      </c>
    </row>
    <row r="25" spans="1:34" x14ac:dyDescent="0.3">
      <c r="A25" s="8" t="s">
        <v>3</v>
      </c>
      <c r="B25" s="18">
        <f>ROUNDUP(B18/12.75,0)</f>
        <v>1984</v>
      </c>
      <c r="C25" s="18">
        <f>ROUNDUP(C18/13.75,0)</f>
        <v>2075</v>
      </c>
      <c r="D25" s="18">
        <f>C25-B25</f>
        <v>91</v>
      </c>
      <c r="E25" s="10">
        <f>D25/B25</f>
        <v>4.5866935483870969E-2</v>
      </c>
      <c r="F25" s="8"/>
      <c r="R25" s="66" t="s">
        <v>83</v>
      </c>
      <c r="S25" s="59">
        <f>+C25</f>
        <v>2075</v>
      </c>
      <c r="T25" s="27" t="s">
        <v>97</v>
      </c>
      <c r="U25" s="29">
        <f>+S25*0.9995</f>
        <v>2073.9625000000001</v>
      </c>
      <c r="V25" s="66" t="s">
        <v>92</v>
      </c>
      <c r="W25" s="44">
        <f>I18</f>
        <v>12.744833669354838</v>
      </c>
      <c r="X25" s="27" t="s">
        <v>96</v>
      </c>
      <c r="Y25" s="29">
        <f>91*12.7448</f>
        <v>1159.7767999999999</v>
      </c>
      <c r="Z25" s="78">
        <f>+Y25+U25</f>
        <v>3233.7393000000002</v>
      </c>
      <c r="AB25" s="8" t="s">
        <v>3</v>
      </c>
      <c r="AC25" s="18">
        <f>B18</f>
        <v>25285.75</v>
      </c>
      <c r="AD25" s="18">
        <f>C18</f>
        <v>28519.54</v>
      </c>
      <c r="AE25" s="10">
        <f>+AD25/AC25-1</f>
        <v>0.12788981936466204</v>
      </c>
      <c r="AF25" s="63">
        <f>+B25</f>
        <v>1984</v>
      </c>
      <c r="AG25" s="63">
        <f>+C25</f>
        <v>2075</v>
      </c>
      <c r="AH25" s="10">
        <f>+AG25/AF25-1</f>
        <v>4.5866935483870996E-2</v>
      </c>
    </row>
    <row r="26" spans="1:34" x14ac:dyDescent="0.3">
      <c r="A26" s="8" t="s">
        <v>4</v>
      </c>
      <c r="B26" s="18">
        <f>+ROUND(B19/9.54,0)</f>
        <v>1349</v>
      </c>
      <c r="C26" s="18">
        <f>+ROUND(C19/8.5,0)</f>
        <v>1326</v>
      </c>
      <c r="D26" s="19">
        <f>C26-B26</f>
        <v>-23</v>
      </c>
      <c r="E26" s="13">
        <f>D26/B26</f>
        <v>-1.704966641957005E-2</v>
      </c>
      <c r="F26" s="8"/>
      <c r="R26" s="67" t="s">
        <v>84</v>
      </c>
      <c r="S26" s="59">
        <f>+C26</f>
        <v>1326</v>
      </c>
      <c r="T26" s="27" t="s">
        <v>98</v>
      </c>
      <c r="U26" s="29">
        <f>+S26*-1.0422</f>
        <v>-1381.9572000000001</v>
      </c>
      <c r="V26" s="67" t="s">
        <v>93</v>
      </c>
      <c r="W26" s="44">
        <f t="shared" ref="W26" si="0">I19</f>
        <v>9.5429503335804302</v>
      </c>
      <c r="X26" s="73" t="s">
        <v>94</v>
      </c>
      <c r="Y26" s="29">
        <f>-23*9.543</f>
        <v>-219.48899999999998</v>
      </c>
      <c r="Z26" s="78">
        <f>+Y26+U26</f>
        <v>-1601.4462000000001</v>
      </c>
      <c r="AB26" s="8" t="s">
        <v>4</v>
      </c>
      <c r="AC26" s="18">
        <f>B19</f>
        <v>12873.44</v>
      </c>
      <c r="AD26" s="18">
        <f>C19</f>
        <v>11271.98</v>
      </c>
      <c r="AE26" s="61">
        <f t="shared" ref="AE26:AE27" si="1">+AD26/AC26-1</f>
        <v>-0.124400315688736</v>
      </c>
      <c r="AF26" s="63">
        <f>+B26</f>
        <v>1349</v>
      </c>
      <c r="AG26" s="63">
        <f>+C26</f>
        <v>1326</v>
      </c>
      <c r="AH26" s="61">
        <f t="shared" ref="AH26:AH27" si="2">+AG26/AF26-1</f>
        <v>-1.7049666419570064E-2</v>
      </c>
    </row>
    <row r="27" spans="1:34" ht="28.8" x14ac:dyDescent="0.3">
      <c r="A27" s="23" t="s">
        <v>20</v>
      </c>
      <c r="B27" s="20">
        <f>B25+B26</f>
        <v>3333</v>
      </c>
      <c r="C27" s="20">
        <f>C25+C26</f>
        <v>3401</v>
      </c>
      <c r="D27" s="20">
        <f>C27-B27</f>
        <v>68</v>
      </c>
      <c r="E27" s="7">
        <f>D27/B27</f>
        <v>2.0402040204020401E-2</v>
      </c>
      <c r="F27" s="8"/>
      <c r="R27" s="72"/>
      <c r="S27" s="59">
        <f>+C27</f>
        <v>3401</v>
      </c>
      <c r="T27" s="27" t="s">
        <v>89</v>
      </c>
      <c r="U27" s="29">
        <f>SUM(U25:U26)</f>
        <v>692.00530000000003</v>
      </c>
      <c r="V27" s="72"/>
      <c r="W27" s="29">
        <f>+I20</f>
        <v>11.448901890189019</v>
      </c>
      <c r="X27" s="27" t="s">
        <v>89</v>
      </c>
      <c r="Y27" s="29">
        <f>SUM(Y25:Y26)</f>
        <v>940.28779999999983</v>
      </c>
      <c r="Z27" s="78">
        <f>+Y27+U27</f>
        <v>1632.2930999999999</v>
      </c>
      <c r="AB27" s="23" t="s">
        <v>20</v>
      </c>
      <c r="AC27" s="20">
        <f>SUM(AC25:AC26)</f>
        <v>38159.19</v>
      </c>
      <c r="AD27" s="20">
        <f>SUM(AD25:AD26)</f>
        <v>39791.520000000004</v>
      </c>
      <c r="AE27" s="79">
        <f t="shared" si="1"/>
        <v>4.2776851395430526E-2</v>
      </c>
      <c r="AF27" s="64">
        <f>SUM(AF25:AF26)</f>
        <v>3333</v>
      </c>
      <c r="AG27" s="64">
        <f>SUM(AG25:AG26)</f>
        <v>3401</v>
      </c>
      <c r="AH27" s="62">
        <f t="shared" si="2"/>
        <v>2.0402040204020366E-2</v>
      </c>
    </row>
    <row r="28" spans="1:34" ht="14.95" thickBot="1" x14ac:dyDescent="0.35">
      <c r="J28" s="70"/>
      <c r="P28" s="71"/>
      <c r="W28" s="36"/>
      <c r="X28" s="36"/>
      <c r="Z28" s="36" t="e">
        <f>+#REF!+#REF!</f>
        <v>#REF!</v>
      </c>
    </row>
    <row r="29" spans="1:34" ht="14.95" thickBot="1" x14ac:dyDescent="0.35">
      <c r="J29" s="69"/>
      <c r="K29" s="70"/>
      <c r="L29" s="69"/>
      <c r="M29" s="36"/>
      <c r="R29" s="105" t="s">
        <v>99</v>
      </c>
      <c r="S29" s="106"/>
      <c r="T29" s="107"/>
      <c r="U29" s="80">
        <f>+B20</f>
        <v>38159.19</v>
      </c>
      <c r="V29" s="105" t="s">
        <v>99</v>
      </c>
      <c r="W29" s="106"/>
      <c r="X29" s="107"/>
      <c r="Y29" s="80">
        <f>+U29</f>
        <v>38159.19</v>
      </c>
      <c r="Z29" s="80">
        <f>+Y29</f>
        <v>38159.19</v>
      </c>
    </row>
  </sheetData>
  <mergeCells count="8">
    <mergeCell ref="R29:T29"/>
    <mergeCell ref="V29:X29"/>
    <mergeCell ref="H16:M16"/>
    <mergeCell ref="AB23:AH23"/>
    <mergeCell ref="R23:U23"/>
    <mergeCell ref="A16:F16"/>
    <mergeCell ref="A23:F23"/>
    <mergeCell ref="V23:Y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42CF-7313-4807-B917-2B7FEB11DD6C}">
  <dimension ref="A16:AH48"/>
  <sheetViews>
    <sheetView showGridLines="0" topLeftCell="A7" workbookViewId="0">
      <selection activeCell="A9" sqref="A9"/>
    </sheetView>
  </sheetViews>
  <sheetFormatPr baseColWidth="10" defaultRowHeight="14.4" x14ac:dyDescent="0.3"/>
  <cols>
    <col min="1" max="1" width="23.69921875" bestFit="1" customWidth="1"/>
    <col min="6" max="6" width="13" bestFit="1" customWidth="1"/>
    <col min="8" max="8" width="20.8984375" bestFit="1" customWidth="1"/>
    <col min="10" max="10" width="12.296875" bestFit="1" customWidth="1"/>
    <col min="13" max="13" width="13.09765625" bestFit="1" customWidth="1"/>
    <col min="14" max="14" width="10.296875" customWidth="1"/>
    <col min="18" max="18" width="22.69921875" bestFit="1" customWidth="1"/>
    <col min="20" max="20" width="16.59765625" bestFit="1" customWidth="1"/>
    <col min="22" max="22" width="20.19921875" bestFit="1" customWidth="1"/>
    <col min="26" max="26" width="13" bestFit="1" customWidth="1"/>
  </cols>
  <sheetData>
    <row r="16" spans="1:13" ht="35.450000000000003" customHeight="1" x14ac:dyDescent="0.3">
      <c r="A16" s="102" t="s">
        <v>9</v>
      </c>
      <c r="B16" s="102"/>
      <c r="C16" s="102"/>
      <c r="D16" s="102"/>
      <c r="E16" s="102"/>
      <c r="F16" s="102"/>
      <c r="H16" s="100" t="s">
        <v>72</v>
      </c>
      <c r="I16" s="100"/>
      <c r="J16" s="100"/>
      <c r="K16" s="100"/>
      <c r="L16" s="100"/>
      <c r="M16" s="100"/>
    </row>
    <row r="17" spans="1:34" ht="28.8" x14ac:dyDescent="0.3">
      <c r="A17" s="3" t="s">
        <v>2</v>
      </c>
      <c r="B17" s="4" t="s">
        <v>5</v>
      </c>
      <c r="C17" s="4" t="s">
        <v>6</v>
      </c>
      <c r="D17" s="5" t="s">
        <v>0</v>
      </c>
      <c r="E17" s="5" t="s">
        <v>7</v>
      </c>
      <c r="F17" s="16" t="s">
        <v>12</v>
      </c>
      <c r="H17" s="22"/>
      <c r="I17" s="4" t="s">
        <v>5</v>
      </c>
      <c r="J17" s="4" t="s">
        <v>6</v>
      </c>
      <c r="K17" s="5" t="s">
        <v>0</v>
      </c>
      <c r="L17" s="60" t="s">
        <v>7</v>
      </c>
      <c r="M17" s="16" t="s">
        <v>12</v>
      </c>
    </row>
    <row r="18" spans="1:34" x14ac:dyDescent="0.3">
      <c r="A18" s="8" t="s">
        <v>3</v>
      </c>
      <c r="B18" s="9">
        <v>25285.75</v>
      </c>
      <c r="C18" s="9">
        <v>28519.54</v>
      </c>
      <c r="D18" s="9">
        <f>+C18-B18</f>
        <v>3233.7900000000009</v>
      </c>
      <c r="E18" s="10">
        <f>+D18/B18</f>
        <v>0.12788981936466196</v>
      </c>
      <c r="F18" s="8" t="s">
        <v>1</v>
      </c>
      <c r="H18" s="8" t="s">
        <v>3</v>
      </c>
      <c r="I18" s="9">
        <f>+B18/B25</f>
        <v>12.744833669354838</v>
      </c>
      <c r="J18" s="9">
        <f>+C18/C25</f>
        <v>13.744356626506024</v>
      </c>
      <c r="K18" s="75">
        <f>+J18-I18</f>
        <v>0.99952295715118566</v>
      </c>
      <c r="L18" s="10">
        <f>+K18/I18</f>
        <v>7.8425735720235798E-2</v>
      </c>
      <c r="M18" s="8" t="s">
        <v>1</v>
      </c>
    </row>
    <row r="19" spans="1:34" x14ac:dyDescent="0.3">
      <c r="A19" s="8" t="s">
        <v>4</v>
      </c>
      <c r="B19" s="9">
        <v>12873.44</v>
      </c>
      <c r="C19" s="9">
        <v>11271.98</v>
      </c>
      <c r="D19" s="17">
        <f>+C19-B19</f>
        <v>-1601.4600000000009</v>
      </c>
      <c r="E19" s="13">
        <f>+D19/B19</f>
        <v>-0.12440031568873594</v>
      </c>
      <c r="F19" s="8" t="s">
        <v>11</v>
      </c>
      <c r="H19" s="8" t="s">
        <v>4</v>
      </c>
      <c r="I19" s="9">
        <f>+B19/B26</f>
        <v>9.5429503335804302</v>
      </c>
      <c r="J19" s="9">
        <f>+C19/C26</f>
        <v>8.5007390648567114</v>
      </c>
      <c r="K19" s="76">
        <f>+J19-I19</f>
        <v>-1.0422112687237188</v>
      </c>
      <c r="L19" s="13">
        <f>+K19/I19</f>
        <v>-0.109212689188616</v>
      </c>
      <c r="M19" s="8" t="s">
        <v>11</v>
      </c>
    </row>
    <row r="20" spans="1:34" ht="28.8" x14ac:dyDescent="0.3">
      <c r="A20" s="23" t="s">
        <v>21</v>
      </c>
      <c r="B20" s="6">
        <f>SUM(B18:B19)</f>
        <v>38159.19</v>
      </c>
      <c r="C20" s="6">
        <f>SUM(C18:C19)</f>
        <v>39791.520000000004</v>
      </c>
      <c r="D20" s="11">
        <f>+C20-B20</f>
        <v>1632.3300000000017</v>
      </c>
      <c r="E20" s="7">
        <f>+D20/B20</f>
        <v>4.277685139543061E-2</v>
      </c>
      <c r="F20" s="8" t="s">
        <v>1</v>
      </c>
      <c r="H20" s="23" t="s">
        <v>71</v>
      </c>
      <c r="I20" s="6">
        <f>B20/B27</f>
        <v>11.448901890189019</v>
      </c>
      <c r="J20" s="6">
        <f>C20/C27</f>
        <v>11.699947074389886</v>
      </c>
      <c r="K20" s="77">
        <f>+J20-I20</f>
        <v>0.25104518420086741</v>
      </c>
      <c r="L20" s="7">
        <f>+K20/I20</f>
        <v>2.1927446545419102E-2</v>
      </c>
      <c r="M20" s="8" t="s">
        <v>1</v>
      </c>
    </row>
    <row r="21" spans="1:34" s="54" customFormat="1" x14ac:dyDescent="0.3">
      <c r="B21" s="55">
        <f>+B18/B25</f>
        <v>12.744833669354838</v>
      </c>
      <c r="C21" s="55">
        <f>+C18/C25</f>
        <v>13.744356626506024</v>
      </c>
      <c r="I21" s="55"/>
      <c r="J21" s="55"/>
    </row>
    <row r="22" spans="1:34" s="54" customFormat="1" x14ac:dyDescent="0.3">
      <c r="B22" s="55">
        <f>+B19/B26</f>
        <v>9.5429503335804302</v>
      </c>
      <c r="C22" s="55">
        <f>+C19/C26</f>
        <v>8.5007390648567114</v>
      </c>
      <c r="I22" s="55"/>
      <c r="J22" s="55"/>
    </row>
    <row r="23" spans="1:34" ht="35.450000000000003" customHeight="1" x14ac:dyDescent="0.3">
      <c r="A23" s="100" t="s">
        <v>10</v>
      </c>
      <c r="B23" s="100"/>
      <c r="C23" s="100"/>
      <c r="D23" s="100"/>
      <c r="E23" s="100"/>
      <c r="F23" s="100"/>
      <c r="R23" s="101" t="s">
        <v>102</v>
      </c>
      <c r="S23" s="101"/>
      <c r="T23" s="101"/>
      <c r="U23" s="101"/>
      <c r="V23" s="103" t="s">
        <v>101</v>
      </c>
      <c r="W23" s="104"/>
      <c r="X23" s="104"/>
      <c r="Y23" s="104"/>
      <c r="Z23" s="83"/>
      <c r="AB23" s="101" t="s">
        <v>81</v>
      </c>
      <c r="AC23" s="101"/>
      <c r="AD23" s="101"/>
      <c r="AE23" s="101"/>
      <c r="AF23" s="101"/>
      <c r="AG23" s="101"/>
      <c r="AH23" s="101"/>
    </row>
    <row r="24" spans="1:34" ht="43.2" x14ac:dyDescent="0.3">
      <c r="A24" s="3" t="s">
        <v>8</v>
      </c>
      <c r="B24" s="4" t="s">
        <v>5</v>
      </c>
      <c r="C24" s="4" t="s">
        <v>6</v>
      </c>
      <c r="D24" s="5" t="s">
        <v>8</v>
      </c>
      <c r="E24" s="5" t="s">
        <v>7</v>
      </c>
      <c r="F24" s="16" t="s">
        <v>12</v>
      </c>
      <c r="R24" s="65" t="s">
        <v>82</v>
      </c>
      <c r="S24" s="68" t="s">
        <v>85</v>
      </c>
      <c r="T24" s="4" t="s">
        <v>88</v>
      </c>
      <c r="U24" s="68" t="s">
        <v>86</v>
      </c>
      <c r="V24" s="65" t="s">
        <v>91</v>
      </c>
      <c r="W24" s="68" t="s">
        <v>90</v>
      </c>
      <c r="X24" s="4" t="s">
        <v>88</v>
      </c>
      <c r="Y24" s="68" t="s">
        <v>86</v>
      </c>
      <c r="Z24" s="4" t="s">
        <v>95</v>
      </c>
      <c r="AB24" s="3"/>
      <c r="AC24" s="5" t="s">
        <v>76</v>
      </c>
      <c r="AD24" s="5" t="s">
        <v>77</v>
      </c>
      <c r="AE24" s="5" t="s">
        <v>80</v>
      </c>
      <c r="AF24" s="5" t="s">
        <v>78</v>
      </c>
      <c r="AG24" s="5" t="s">
        <v>79</v>
      </c>
      <c r="AH24" s="5" t="s">
        <v>87</v>
      </c>
    </row>
    <row r="25" spans="1:34" x14ac:dyDescent="0.3">
      <c r="A25" s="8" t="s">
        <v>3</v>
      </c>
      <c r="B25" s="18">
        <f>ROUNDUP(B18/12.75,0)</f>
        <v>1984</v>
      </c>
      <c r="C25" s="18">
        <f>ROUNDUP(C18/13.75,0)</f>
        <v>2075</v>
      </c>
      <c r="D25" s="18">
        <f>+C25-B25</f>
        <v>91</v>
      </c>
      <c r="E25" s="10">
        <f>+D25/B25</f>
        <v>4.5866935483870969E-2</v>
      </c>
      <c r="F25" s="8" t="s">
        <v>1</v>
      </c>
      <c r="R25" s="66" t="s">
        <v>83</v>
      </c>
      <c r="S25" s="59">
        <f>+C25</f>
        <v>2075</v>
      </c>
      <c r="T25" s="27" t="s">
        <v>97</v>
      </c>
      <c r="U25" s="29">
        <f>+S25*0.9995</f>
        <v>2073.9625000000001</v>
      </c>
      <c r="V25" s="66" t="s">
        <v>92</v>
      </c>
      <c r="W25" s="44">
        <f>I18</f>
        <v>12.744833669354838</v>
      </c>
      <c r="X25" s="27" t="s">
        <v>96</v>
      </c>
      <c r="Y25" s="29">
        <f>91*12.7448</f>
        <v>1159.7767999999999</v>
      </c>
      <c r="Z25" s="78">
        <f>+Y25+U25</f>
        <v>3233.7393000000002</v>
      </c>
      <c r="AB25" s="8" t="s">
        <v>3</v>
      </c>
      <c r="AC25" s="18">
        <f>B18</f>
        <v>25285.75</v>
      </c>
      <c r="AD25" s="18">
        <f>C18</f>
        <v>28519.54</v>
      </c>
      <c r="AE25" s="10">
        <f>+AD25/AC25-1</f>
        <v>0.12788981936466204</v>
      </c>
      <c r="AF25" s="63">
        <f>+B25</f>
        <v>1984</v>
      </c>
      <c r="AG25" s="63">
        <f>+C25</f>
        <v>2075</v>
      </c>
      <c r="AH25" s="10">
        <f>+AG25/AF25-1</f>
        <v>4.5866935483870996E-2</v>
      </c>
    </row>
    <row r="26" spans="1:34" x14ac:dyDescent="0.3">
      <c r="A26" s="8" t="s">
        <v>4</v>
      </c>
      <c r="B26" s="18">
        <f>+ROUND(B19/9.54,0)</f>
        <v>1349</v>
      </c>
      <c r="C26" s="18">
        <f>+ROUND(C19/8.5,0)</f>
        <v>1326</v>
      </c>
      <c r="D26" s="19">
        <f>+C26-B26</f>
        <v>-23</v>
      </c>
      <c r="E26" s="13">
        <f>+D26/B26</f>
        <v>-1.704966641957005E-2</v>
      </c>
      <c r="F26" s="8" t="s">
        <v>11</v>
      </c>
      <c r="R26" s="67" t="s">
        <v>84</v>
      </c>
      <c r="S26" s="59">
        <f>+C26</f>
        <v>1326</v>
      </c>
      <c r="T26" s="27" t="s">
        <v>98</v>
      </c>
      <c r="U26" s="29">
        <f>+S26*-1.0422</f>
        <v>-1381.9572000000001</v>
      </c>
      <c r="V26" s="67" t="s">
        <v>93</v>
      </c>
      <c r="W26" s="44">
        <f t="shared" ref="W26" si="0">I19</f>
        <v>9.5429503335804302</v>
      </c>
      <c r="X26" s="73" t="s">
        <v>94</v>
      </c>
      <c r="Y26" s="29">
        <f>-23*9.543</f>
        <v>-219.48899999999998</v>
      </c>
      <c r="Z26" s="78">
        <f>+Y26+U26</f>
        <v>-1601.4462000000001</v>
      </c>
      <c r="AB26" s="8" t="s">
        <v>4</v>
      </c>
      <c r="AC26" s="18">
        <f>B19</f>
        <v>12873.44</v>
      </c>
      <c r="AD26" s="18">
        <f>C19</f>
        <v>11271.98</v>
      </c>
      <c r="AE26" s="61">
        <f t="shared" ref="AE26:AE27" si="1">+AD26/AC26-1</f>
        <v>-0.124400315688736</v>
      </c>
      <c r="AF26" s="63">
        <f>+B26</f>
        <v>1349</v>
      </c>
      <c r="AG26" s="63">
        <f>+C26</f>
        <v>1326</v>
      </c>
      <c r="AH26" s="61">
        <f t="shared" ref="AH26:AH27" si="2">+AG26/AF26-1</f>
        <v>-1.7049666419570064E-2</v>
      </c>
    </row>
    <row r="27" spans="1:34" ht="72" x14ac:dyDescent="0.3">
      <c r="A27" s="23" t="s">
        <v>20</v>
      </c>
      <c r="B27" s="20">
        <f>SUM(B25:B26)</f>
        <v>3333</v>
      </c>
      <c r="C27" s="20">
        <f>SUM(C25:C26)</f>
        <v>3401</v>
      </c>
      <c r="D27" s="20">
        <f>+C27-B27</f>
        <v>68</v>
      </c>
      <c r="E27" s="7">
        <f>+D27/B27</f>
        <v>2.0402040204020401E-2</v>
      </c>
      <c r="F27" s="8" t="s">
        <v>1</v>
      </c>
      <c r="R27" s="72"/>
      <c r="S27" s="59">
        <f>+C27</f>
        <v>3401</v>
      </c>
      <c r="T27" s="27" t="s">
        <v>89</v>
      </c>
      <c r="U27" s="29">
        <f>SUM(U25:U26)</f>
        <v>692.00530000000003</v>
      </c>
      <c r="V27" s="72"/>
      <c r="W27" s="29">
        <f>+I20</f>
        <v>11.448901890189019</v>
      </c>
      <c r="X27" s="27" t="s">
        <v>89</v>
      </c>
      <c r="Y27" s="29">
        <f>SUM(Y25:Y26)</f>
        <v>940.28779999999983</v>
      </c>
      <c r="Z27" s="78">
        <f>+Y27+U27</f>
        <v>1632.2930999999999</v>
      </c>
      <c r="AB27" s="23" t="s">
        <v>20</v>
      </c>
      <c r="AC27" s="20">
        <f>SUM(AC25:AC26)</f>
        <v>38159.19</v>
      </c>
      <c r="AD27" s="20">
        <f>SUM(AD25:AD26)</f>
        <v>39791.520000000004</v>
      </c>
      <c r="AE27" s="79">
        <f t="shared" si="1"/>
        <v>4.2776851395430526E-2</v>
      </c>
      <c r="AF27" s="64">
        <f>SUM(AF25:AF26)</f>
        <v>3333</v>
      </c>
      <c r="AG27" s="64">
        <f>SUM(AG25:AG26)</f>
        <v>3401</v>
      </c>
      <c r="AH27" s="62">
        <f t="shared" si="2"/>
        <v>2.0402040204020366E-2</v>
      </c>
    </row>
    <row r="28" spans="1:34" ht="14.95" thickBot="1" x14ac:dyDescent="0.35">
      <c r="J28" s="70"/>
      <c r="P28" s="71"/>
      <c r="W28" s="36"/>
      <c r="X28" s="36"/>
      <c r="Z28" s="36">
        <f>+Y30+U30</f>
        <v>4.2775884393772501E-2</v>
      </c>
    </row>
    <row r="29" spans="1:34" ht="14.95" thickBot="1" x14ac:dyDescent="0.35">
      <c r="J29" s="69"/>
      <c r="K29" s="70"/>
      <c r="L29" s="69"/>
      <c r="M29" s="36"/>
      <c r="R29" s="105" t="s">
        <v>99</v>
      </c>
      <c r="S29" s="106"/>
      <c r="T29" s="107"/>
      <c r="U29" s="80">
        <f>+B20</f>
        <v>38159.19</v>
      </c>
      <c r="V29" s="105" t="s">
        <v>99</v>
      </c>
      <c r="W29" s="106"/>
      <c r="X29" s="107"/>
      <c r="Y29" s="80">
        <f>+U29</f>
        <v>38159.19</v>
      </c>
      <c r="Z29" s="80">
        <f>+Y29</f>
        <v>38159.19</v>
      </c>
    </row>
    <row r="30" spans="1:34" ht="40.15" customHeight="1" thickBot="1" x14ac:dyDescent="0.35">
      <c r="A30" s="109" t="s">
        <v>13</v>
      </c>
      <c r="B30" s="109"/>
      <c r="C30" s="109"/>
      <c r="D30" s="109"/>
      <c r="E30" s="109"/>
      <c r="F30" s="109"/>
      <c r="R30" s="110" t="s">
        <v>100</v>
      </c>
      <c r="S30" s="111"/>
      <c r="T30" s="112"/>
      <c r="U30" s="81">
        <f>+U27/B20</f>
        <v>1.8134695731224903E-2</v>
      </c>
      <c r="V30" s="110" t="s">
        <v>100</v>
      </c>
      <c r="W30" s="111"/>
      <c r="X30" s="112"/>
      <c r="Y30" s="84">
        <f>+Y27/B20</f>
        <v>2.4641188662547601E-2</v>
      </c>
      <c r="Z30" s="82">
        <f>+Y30+U30</f>
        <v>4.2775884393772501E-2</v>
      </c>
    </row>
    <row r="31" spans="1:34" ht="43.75" thickBot="1" x14ac:dyDescent="0.35">
      <c r="A31" s="22" t="s">
        <v>14</v>
      </c>
      <c r="B31" s="4" t="s">
        <v>5</v>
      </c>
      <c r="C31" s="4" t="s">
        <v>6</v>
      </c>
      <c r="D31" s="5" t="s">
        <v>14</v>
      </c>
      <c r="E31" s="5" t="s">
        <v>7</v>
      </c>
      <c r="F31" s="16" t="s">
        <v>12</v>
      </c>
      <c r="R31" s="110" t="s">
        <v>103</v>
      </c>
      <c r="S31" s="111"/>
      <c r="T31" s="112"/>
      <c r="U31" s="85">
        <f>+U27/Z27</f>
        <v>0.42394671643223886</v>
      </c>
      <c r="V31" s="113" t="s">
        <v>104</v>
      </c>
      <c r="W31" s="114"/>
      <c r="X31" s="115"/>
      <c r="Y31" s="85">
        <f>+Y27/Z27</f>
        <v>0.5760532835677612</v>
      </c>
      <c r="Z31" s="86">
        <f>+Y31+U31</f>
        <v>1</v>
      </c>
    </row>
    <row r="32" spans="1:34" x14ac:dyDescent="0.3">
      <c r="A32" s="8" t="s">
        <v>3</v>
      </c>
      <c r="B32" s="18">
        <f>+B25*7.24</f>
        <v>14364.16</v>
      </c>
      <c r="C32" s="18">
        <f>+C25*8.21</f>
        <v>17035.75</v>
      </c>
      <c r="D32" s="18">
        <f>+C32-B32</f>
        <v>2671.59</v>
      </c>
      <c r="E32" s="10">
        <f>+D32/B32</f>
        <v>0.18598999175726252</v>
      </c>
      <c r="F32" s="8" t="s">
        <v>1</v>
      </c>
    </row>
    <row r="33" spans="1:17" x14ac:dyDescent="0.3">
      <c r="A33" s="8" t="s">
        <v>4</v>
      </c>
      <c r="B33" s="18">
        <f>+B26*8.73</f>
        <v>11776.77</v>
      </c>
      <c r="C33" s="18">
        <f>+C26*8.45</f>
        <v>11204.699999999999</v>
      </c>
      <c r="D33" s="19">
        <f>+C33-B33</f>
        <v>-572.07000000000153</v>
      </c>
      <c r="E33" s="13">
        <f>+D33/B33</f>
        <v>-4.8576137599698518E-2</v>
      </c>
      <c r="F33" s="8" t="s">
        <v>11</v>
      </c>
    </row>
    <row r="34" spans="1:17" ht="28.8" x14ac:dyDescent="0.3">
      <c r="A34" s="23" t="s">
        <v>19</v>
      </c>
      <c r="B34" s="20">
        <f>SUM(B32:B33)</f>
        <v>26140.93</v>
      </c>
      <c r="C34" s="20">
        <f>SUM(C32:C33)</f>
        <v>28240.449999999997</v>
      </c>
      <c r="D34" s="20">
        <f>+C34-B34</f>
        <v>2099.5199999999968</v>
      </c>
      <c r="E34" s="7">
        <f>+D34/B34</f>
        <v>8.0315428716575765E-2</v>
      </c>
      <c r="F34" s="8" t="s">
        <v>1</v>
      </c>
    </row>
    <row r="37" spans="1:17" ht="40.15" customHeight="1" x14ac:dyDescent="0.3">
      <c r="A37" s="108" t="s">
        <v>15</v>
      </c>
      <c r="B37" s="108"/>
      <c r="C37" s="108"/>
      <c r="D37" s="108"/>
      <c r="E37" s="108"/>
      <c r="F37" s="108"/>
    </row>
    <row r="38" spans="1:17" ht="43.2" x14ac:dyDescent="0.3">
      <c r="A38" s="22" t="s">
        <v>14</v>
      </c>
      <c r="B38" s="4" t="s">
        <v>5</v>
      </c>
      <c r="C38" s="4" t="s">
        <v>6</v>
      </c>
      <c r="D38" s="5" t="s">
        <v>14</v>
      </c>
      <c r="E38" s="5" t="s">
        <v>7</v>
      </c>
      <c r="F38" s="16" t="s">
        <v>12</v>
      </c>
    </row>
    <row r="39" spans="1:17" x14ac:dyDescent="0.3">
      <c r="A39" s="8" t="s">
        <v>3</v>
      </c>
      <c r="B39" s="18">
        <f>+B18-B32</f>
        <v>10921.59</v>
      </c>
      <c r="C39" s="18">
        <f t="shared" ref="C39:C40" si="3">+C18-C32</f>
        <v>11483.79</v>
      </c>
      <c r="D39" s="18">
        <f>+C39-B39</f>
        <v>562.20000000000073</v>
      </c>
      <c r="E39" s="10">
        <f>+D39/B39</f>
        <v>5.1476021348539978E-2</v>
      </c>
      <c r="F39" s="8" t="s">
        <v>1</v>
      </c>
    </row>
    <row r="40" spans="1:17" x14ac:dyDescent="0.3">
      <c r="A40" s="8" t="s">
        <v>4</v>
      </c>
      <c r="B40" s="18">
        <f t="shared" ref="B40" si="4">+B19-B33</f>
        <v>1096.67</v>
      </c>
      <c r="C40" s="18">
        <f t="shared" si="3"/>
        <v>67.280000000000655</v>
      </c>
      <c r="D40" s="19">
        <f>+C40-B40</f>
        <v>-1029.3899999999994</v>
      </c>
      <c r="E40" s="13">
        <f>+D40/B40</f>
        <v>-0.93865064239926266</v>
      </c>
      <c r="F40" s="12" t="s">
        <v>11</v>
      </c>
      <c r="J40" s="69">
        <f>+J18-I18</f>
        <v>0.99952295715118566</v>
      </c>
      <c r="K40" s="70">
        <f>+C25</f>
        <v>2075</v>
      </c>
      <c r="L40" s="69">
        <f>+J40*K40</f>
        <v>2074.0101360887102</v>
      </c>
      <c r="M40" s="36"/>
      <c r="N40" s="70">
        <f>+C25-B25</f>
        <v>91</v>
      </c>
      <c r="O40" s="74">
        <f>+I18</f>
        <v>12.744833669354838</v>
      </c>
      <c r="P40" s="69">
        <f>+N40*O40</f>
        <v>1159.7798639112902</v>
      </c>
    </row>
    <row r="41" spans="1:17" ht="28.8" x14ac:dyDescent="0.3">
      <c r="A41" s="23" t="s">
        <v>22</v>
      </c>
      <c r="B41" s="20">
        <f>SUM(B39:B40)</f>
        <v>12018.26</v>
      </c>
      <c r="C41" s="20">
        <f>SUM(C39:C40)</f>
        <v>11551.070000000002</v>
      </c>
      <c r="D41" s="25">
        <f>+C41-B41</f>
        <v>-467.18999999999869</v>
      </c>
      <c r="E41" s="26">
        <f>+D41/B41</f>
        <v>-3.8873347722548746E-2</v>
      </c>
      <c r="F41" s="12" t="s">
        <v>11</v>
      </c>
      <c r="J41" s="69">
        <f>+J19-I19</f>
        <v>-1.0422112687237188</v>
      </c>
      <c r="K41" s="70">
        <f>+C26</f>
        <v>1326</v>
      </c>
      <c r="L41" s="69">
        <f>+J41*K41</f>
        <v>-1381.9721423276512</v>
      </c>
      <c r="M41" s="36"/>
      <c r="N41" s="70">
        <f>+C26-B26</f>
        <v>-23</v>
      </c>
      <c r="O41" s="74">
        <f>+I19</f>
        <v>9.5429503335804302</v>
      </c>
      <c r="P41" s="69">
        <f>+N41*O41</f>
        <v>-219.48785767234989</v>
      </c>
    </row>
    <row r="42" spans="1:17" x14ac:dyDescent="0.3">
      <c r="J42" s="21">
        <f>+L42/K42</f>
        <v>0.20348073912409848</v>
      </c>
      <c r="K42" s="70">
        <f>SUM(K40:K41)</f>
        <v>3401</v>
      </c>
      <c r="L42" s="69">
        <f>SUM(L40:L41)</f>
        <v>692.03799376105894</v>
      </c>
      <c r="P42" s="69">
        <f>SUM(P40:P41)</f>
        <v>940.2920062389403</v>
      </c>
      <c r="Q42" s="69">
        <f>+P42+L42</f>
        <v>1632.3299999999992</v>
      </c>
    </row>
    <row r="43" spans="1:17" x14ac:dyDescent="0.3">
      <c r="L43" s="71"/>
    </row>
    <row r="44" spans="1:17" ht="40.15" customHeight="1" x14ac:dyDescent="0.3">
      <c r="A44" s="108" t="s">
        <v>16</v>
      </c>
      <c r="B44" s="108"/>
      <c r="C44" s="108"/>
      <c r="D44" s="108"/>
      <c r="E44" s="108"/>
      <c r="F44" s="108"/>
    </row>
    <row r="45" spans="1:17" ht="57.6" x14ac:dyDescent="0.3">
      <c r="A45" s="22" t="s">
        <v>14</v>
      </c>
      <c r="B45" s="4" t="s">
        <v>5</v>
      </c>
      <c r="C45" s="4" t="s">
        <v>6</v>
      </c>
      <c r="D45" s="5" t="s">
        <v>17</v>
      </c>
      <c r="E45" s="5"/>
      <c r="F45" s="16" t="s">
        <v>12</v>
      </c>
    </row>
    <row r="46" spans="1:17" x14ac:dyDescent="0.3">
      <c r="A46" s="8" t="s">
        <v>3</v>
      </c>
      <c r="B46" s="10">
        <f t="shared" ref="B46:C48" si="5">+B39/B18</f>
        <v>0.43192667806966373</v>
      </c>
      <c r="C46" s="10">
        <f t="shared" si="5"/>
        <v>0.4026639279595674</v>
      </c>
      <c r="D46" s="14">
        <f>+C46-B46</f>
        <v>-2.9262750110096325E-2</v>
      </c>
      <c r="E46" s="10"/>
      <c r="F46" s="8" t="s">
        <v>1</v>
      </c>
    </row>
    <row r="47" spans="1:17" x14ac:dyDescent="0.3">
      <c r="A47" s="8" t="s">
        <v>4</v>
      </c>
      <c r="B47" s="10">
        <f t="shared" si="5"/>
        <v>8.5188574304925491E-2</v>
      </c>
      <c r="C47" s="10">
        <f t="shared" si="5"/>
        <v>5.9687827693094431E-3</v>
      </c>
      <c r="D47" s="15">
        <f>+C47-B47</f>
        <v>-7.9219791535616049E-2</v>
      </c>
      <c r="E47" s="13"/>
      <c r="F47" s="12" t="s">
        <v>11</v>
      </c>
    </row>
    <row r="48" spans="1:17" ht="28.8" x14ac:dyDescent="0.3">
      <c r="A48" s="23" t="s">
        <v>18</v>
      </c>
      <c r="B48" s="7">
        <f t="shared" si="5"/>
        <v>0.31495060560771859</v>
      </c>
      <c r="C48" s="7">
        <f t="shared" si="5"/>
        <v>0.29028974012553427</v>
      </c>
      <c r="D48" s="24">
        <f>+C48-B48</f>
        <v>-2.4660865482184324E-2</v>
      </c>
      <c r="E48" s="7"/>
      <c r="F48" s="12" t="s">
        <v>11</v>
      </c>
    </row>
  </sheetData>
  <mergeCells count="15">
    <mergeCell ref="A37:F37"/>
    <mergeCell ref="A44:F44"/>
    <mergeCell ref="R29:T29"/>
    <mergeCell ref="V29:X29"/>
    <mergeCell ref="A30:F30"/>
    <mergeCell ref="R30:T30"/>
    <mergeCell ref="V30:X30"/>
    <mergeCell ref="R31:T31"/>
    <mergeCell ref="V31:X31"/>
    <mergeCell ref="AB23:AH23"/>
    <mergeCell ref="A16:F16"/>
    <mergeCell ref="H16:M16"/>
    <mergeCell ref="A23:F23"/>
    <mergeCell ref="R23:U23"/>
    <mergeCell ref="V23:Y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B1B7C-C6DB-415B-AFA5-127879E52B34}">
  <dimension ref="B2:L29"/>
  <sheetViews>
    <sheetView showGridLines="0" workbookViewId="0">
      <selection activeCell="H17" sqref="H17:L22"/>
    </sheetView>
  </sheetViews>
  <sheetFormatPr baseColWidth="10" defaultRowHeight="14.4" x14ac:dyDescent="0.3"/>
  <cols>
    <col min="5" max="5" width="11.59765625" style="1" customWidth="1"/>
    <col min="6" max="6" width="11.59765625" customWidth="1"/>
    <col min="8" max="8" width="21.296875" customWidth="1"/>
    <col min="9" max="9" width="18.19921875" bestFit="1" customWidth="1"/>
    <col min="10" max="10" width="19.09765625" bestFit="1" customWidth="1"/>
    <col min="11" max="11" width="11.59765625" style="1" customWidth="1"/>
    <col min="12" max="12" width="11.59765625" style="36"/>
  </cols>
  <sheetData>
    <row r="2" spans="2:12" x14ac:dyDescent="0.3">
      <c r="B2" s="2" t="s">
        <v>32</v>
      </c>
      <c r="H2" s="2" t="s">
        <v>33</v>
      </c>
    </row>
    <row r="3" spans="2:12" ht="43.2" x14ac:dyDescent="0.3">
      <c r="B3" s="3" t="s">
        <v>23</v>
      </c>
      <c r="C3" s="22" t="s">
        <v>25</v>
      </c>
      <c r="D3" s="22" t="s">
        <v>26</v>
      </c>
      <c r="E3" s="30" t="s">
        <v>27</v>
      </c>
      <c r="F3" s="22" t="s">
        <v>28</v>
      </c>
      <c r="H3" s="3" t="s">
        <v>23</v>
      </c>
      <c r="I3" s="22" t="s">
        <v>25</v>
      </c>
      <c r="J3" s="22" t="s">
        <v>26</v>
      </c>
      <c r="K3" s="30" t="s">
        <v>27</v>
      </c>
      <c r="L3" s="37" t="s">
        <v>28</v>
      </c>
    </row>
    <row r="4" spans="2:12" x14ac:dyDescent="0.3">
      <c r="B4" s="27" t="s">
        <v>24</v>
      </c>
      <c r="C4" s="29">
        <v>525</v>
      </c>
      <c r="D4" s="29">
        <v>640</v>
      </c>
      <c r="E4" s="42"/>
      <c r="F4" s="43"/>
      <c r="H4" s="27" t="s">
        <v>34</v>
      </c>
      <c r="I4" s="29">
        <v>116174.51999999999</v>
      </c>
      <c r="J4" s="29">
        <v>108504.75</v>
      </c>
      <c r="K4" s="42"/>
      <c r="L4" s="43"/>
    </row>
    <row r="5" spans="2:12" x14ac:dyDescent="0.3">
      <c r="B5" s="27"/>
      <c r="C5" s="27"/>
      <c r="D5" s="27"/>
      <c r="E5" s="29"/>
      <c r="F5" s="27"/>
      <c r="H5" s="27"/>
      <c r="I5" s="27"/>
      <c r="J5" s="27"/>
      <c r="K5" s="29"/>
      <c r="L5" s="28"/>
    </row>
    <row r="6" spans="2:12" ht="43.2" x14ac:dyDescent="0.3">
      <c r="B6" s="3" t="s">
        <v>23</v>
      </c>
      <c r="C6" s="22" t="s">
        <v>29</v>
      </c>
      <c r="D6" s="22" t="s">
        <v>30</v>
      </c>
      <c r="E6" s="30" t="s">
        <v>31</v>
      </c>
      <c r="F6" s="22" t="s">
        <v>28</v>
      </c>
      <c r="H6" s="3" t="s">
        <v>23</v>
      </c>
      <c r="I6" s="22" t="s">
        <v>73</v>
      </c>
      <c r="J6" s="22" t="s">
        <v>74</v>
      </c>
      <c r="K6" s="30" t="s">
        <v>75</v>
      </c>
      <c r="L6" s="37" t="s">
        <v>28</v>
      </c>
    </row>
    <row r="7" spans="2:12" s="32" customFormat="1" x14ac:dyDescent="0.3">
      <c r="B7" s="31" t="s">
        <v>24</v>
      </c>
      <c r="C7" s="31">
        <v>350</v>
      </c>
      <c r="D7" s="31">
        <v>400</v>
      </c>
      <c r="E7" s="41"/>
      <c r="F7" s="41"/>
      <c r="H7" s="31" t="s">
        <v>34</v>
      </c>
      <c r="I7" s="31">
        <v>15367</v>
      </c>
      <c r="J7" s="31">
        <v>14925</v>
      </c>
      <c r="K7" s="41"/>
      <c r="L7" s="43"/>
    </row>
    <row r="10" spans="2:12" ht="43.2" x14ac:dyDescent="0.3">
      <c r="B10" s="3" t="s">
        <v>23</v>
      </c>
      <c r="C10" s="22" t="s">
        <v>25</v>
      </c>
      <c r="D10" s="22" t="s">
        <v>26</v>
      </c>
      <c r="E10" s="30" t="s">
        <v>27</v>
      </c>
      <c r="F10" s="22" t="s">
        <v>28</v>
      </c>
      <c r="H10" s="3" t="s">
        <v>23</v>
      </c>
      <c r="I10" s="22" t="s">
        <v>25</v>
      </c>
      <c r="J10" s="22" t="s">
        <v>26</v>
      </c>
      <c r="K10" s="30" t="s">
        <v>27</v>
      </c>
      <c r="L10" s="37" t="s">
        <v>28</v>
      </c>
    </row>
    <row r="11" spans="2:12" x14ac:dyDescent="0.3">
      <c r="B11" s="27" t="s">
        <v>24</v>
      </c>
      <c r="C11" s="29">
        <v>525</v>
      </c>
      <c r="D11" s="29">
        <v>640</v>
      </c>
      <c r="E11" s="38">
        <f>+D11-C11</f>
        <v>115</v>
      </c>
      <c r="F11" s="39">
        <f>+E11/C11</f>
        <v>0.21904761904761905</v>
      </c>
      <c r="H11" s="27" t="s">
        <v>34</v>
      </c>
      <c r="I11" s="29">
        <v>116174.51999999999</v>
      </c>
      <c r="J11" s="29">
        <v>108504.75</v>
      </c>
      <c r="K11" s="33">
        <f>+J11-I11</f>
        <v>-7669.7699999999895</v>
      </c>
      <c r="L11" s="34">
        <f>+K11/I11</f>
        <v>-6.6019381874786232E-2</v>
      </c>
    </row>
    <row r="12" spans="2:12" x14ac:dyDescent="0.3">
      <c r="B12" s="27"/>
      <c r="C12" s="27"/>
      <c r="D12" s="27"/>
      <c r="E12" s="29"/>
      <c r="F12" s="27"/>
      <c r="H12" s="27"/>
      <c r="I12" s="27"/>
      <c r="J12" s="27"/>
      <c r="K12" s="29"/>
      <c r="L12" s="28"/>
    </row>
    <row r="13" spans="2:12" ht="43.2" x14ac:dyDescent="0.3">
      <c r="B13" s="3" t="s">
        <v>23</v>
      </c>
      <c r="C13" s="22" t="s">
        <v>29</v>
      </c>
      <c r="D13" s="22" t="s">
        <v>30</v>
      </c>
      <c r="E13" s="30" t="s">
        <v>31</v>
      </c>
      <c r="F13" s="22" t="s">
        <v>28</v>
      </c>
      <c r="H13" s="3" t="s">
        <v>23</v>
      </c>
      <c r="I13" s="22" t="s">
        <v>73</v>
      </c>
      <c r="J13" s="22" t="s">
        <v>74</v>
      </c>
      <c r="K13" s="30" t="s">
        <v>75</v>
      </c>
      <c r="L13" s="37" t="s">
        <v>28</v>
      </c>
    </row>
    <row r="14" spans="2:12" s="32" customFormat="1" x14ac:dyDescent="0.3">
      <c r="B14" s="31" t="s">
        <v>24</v>
      </c>
      <c r="C14" s="31">
        <v>350</v>
      </c>
      <c r="D14" s="31">
        <v>400</v>
      </c>
      <c r="E14" s="40">
        <f>+D14-C14</f>
        <v>50</v>
      </c>
      <c r="F14" s="39">
        <f>+E14/C14</f>
        <v>0.14285714285714285</v>
      </c>
      <c r="H14" s="31" t="s">
        <v>34</v>
      </c>
      <c r="I14" s="31">
        <v>15367</v>
      </c>
      <c r="J14" s="31">
        <v>14925</v>
      </c>
      <c r="K14" s="35">
        <f>+J14-I14</f>
        <v>-442</v>
      </c>
      <c r="L14" s="34">
        <f>+K14/I14</f>
        <v>-2.876293355892497E-2</v>
      </c>
    </row>
    <row r="17" spans="2:12" x14ac:dyDescent="0.3">
      <c r="B17" s="2" t="s">
        <v>39</v>
      </c>
      <c r="H17" s="2" t="s">
        <v>39</v>
      </c>
      <c r="L17"/>
    </row>
    <row r="18" spans="2:12" ht="43.2" x14ac:dyDescent="0.3">
      <c r="B18" s="3" t="s">
        <v>23</v>
      </c>
      <c r="C18" s="22" t="s">
        <v>35</v>
      </c>
      <c r="D18" s="22" t="s">
        <v>36</v>
      </c>
      <c r="E18" s="30" t="s">
        <v>27</v>
      </c>
      <c r="F18" s="22" t="s">
        <v>28</v>
      </c>
      <c r="H18" s="3" t="s">
        <v>23</v>
      </c>
      <c r="I18" s="22" t="s">
        <v>35</v>
      </c>
      <c r="J18" s="22" t="s">
        <v>36</v>
      </c>
      <c r="K18" s="30" t="s">
        <v>27</v>
      </c>
      <c r="L18" s="22" t="s">
        <v>28</v>
      </c>
    </row>
    <row r="19" spans="2:12" x14ac:dyDescent="0.3">
      <c r="B19" s="27" t="s">
        <v>24</v>
      </c>
      <c r="C19" s="44" t="s">
        <v>37</v>
      </c>
      <c r="D19" s="44" t="s">
        <v>38</v>
      </c>
      <c r="E19" s="38"/>
      <c r="F19" s="39"/>
      <c r="H19" s="31" t="s">
        <v>34</v>
      </c>
      <c r="I19" s="44" t="s">
        <v>41</v>
      </c>
      <c r="J19" s="44" t="s">
        <v>40</v>
      </c>
      <c r="K19" s="33">
        <f>K11</f>
        <v>-7669.7699999999895</v>
      </c>
      <c r="L19" s="34">
        <f>L11</f>
        <v>-6.6019381874786232E-2</v>
      </c>
    </row>
    <row r="20" spans="2:12" x14ac:dyDescent="0.3">
      <c r="B20" s="27"/>
      <c r="C20" s="27"/>
      <c r="D20" s="27"/>
      <c r="E20" s="29"/>
      <c r="F20" s="27"/>
      <c r="H20" s="87" t="s">
        <v>105</v>
      </c>
      <c r="I20" s="78">
        <f>I26</f>
        <v>7.56</v>
      </c>
      <c r="J20" s="78">
        <f>J26</f>
        <v>7.27</v>
      </c>
      <c r="K20" s="33">
        <f>K26</f>
        <v>-0.29000000000000004</v>
      </c>
      <c r="L20" s="34">
        <f>L26</f>
        <v>-3.8359788359788365E-2</v>
      </c>
    </row>
    <row r="21" spans="2:12" ht="43.2" x14ac:dyDescent="0.3">
      <c r="B21" s="3" t="s">
        <v>23</v>
      </c>
      <c r="C21" s="22" t="s">
        <v>29</v>
      </c>
      <c r="D21" s="22" t="s">
        <v>30</v>
      </c>
      <c r="E21" s="30" t="s">
        <v>31</v>
      </c>
      <c r="F21" s="22" t="s">
        <v>28</v>
      </c>
      <c r="H21" s="3" t="s">
        <v>23</v>
      </c>
      <c r="I21" s="22" t="s">
        <v>73</v>
      </c>
      <c r="J21" s="22" t="s">
        <v>74</v>
      </c>
      <c r="K21" s="30" t="s">
        <v>75</v>
      </c>
      <c r="L21" s="22" t="s">
        <v>28</v>
      </c>
    </row>
    <row r="22" spans="2:12" x14ac:dyDescent="0.3">
      <c r="B22" s="31" t="s">
        <v>24</v>
      </c>
      <c r="C22" s="31">
        <v>350</v>
      </c>
      <c r="D22" s="31">
        <v>400</v>
      </c>
      <c r="E22" s="40"/>
      <c r="F22" s="45"/>
      <c r="H22" s="31" t="s">
        <v>34</v>
      </c>
      <c r="I22" s="31">
        <v>350</v>
      </c>
      <c r="J22" s="31">
        <v>400</v>
      </c>
      <c r="K22" s="35">
        <f>+J22-I22</f>
        <v>50</v>
      </c>
      <c r="L22" s="34">
        <f>+K22/I22</f>
        <v>0.14285714285714285</v>
      </c>
    </row>
    <row r="23" spans="2:12" x14ac:dyDescent="0.3">
      <c r="L23"/>
    </row>
    <row r="24" spans="2:12" x14ac:dyDescent="0.3">
      <c r="L24"/>
    </row>
    <row r="25" spans="2:12" ht="43.2" x14ac:dyDescent="0.3">
      <c r="B25" s="3" t="s">
        <v>23</v>
      </c>
      <c r="C25" s="22" t="s">
        <v>35</v>
      </c>
      <c r="D25" s="22" t="s">
        <v>36</v>
      </c>
      <c r="E25" s="30" t="s">
        <v>27</v>
      </c>
      <c r="F25" s="22" t="s">
        <v>28</v>
      </c>
      <c r="H25" s="3" t="s">
        <v>23</v>
      </c>
      <c r="I25" s="22" t="s">
        <v>35</v>
      </c>
      <c r="J25" s="22" t="s">
        <v>36</v>
      </c>
      <c r="K25" s="30" t="s">
        <v>27</v>
      </c>
      <c r="L25" s="22" t="s">
        <v>28</v>
      </c>
    </row>
    <row r="26" spans="2:12" x14ac:dyDescent="0.3">
      <c r="B26" s="27" t="s">
        <v>24</v>
      </c>
      <c r="C26" s="44">
        <f>+C11/C14</f>
        <v>1.5</v>
      </c>
      <c r="D26" s="44">
        <f>+D11/D14</f>
        <v>1.6</v>
      </c>
      <c r="E26" s="38">
        <f>+D26-C26</f>
        <v>0.10000000000000009</v>
      </c>
      <c r="F26" s="39">
        <f>+E26/C26</f>
        <v>6.6666666666666721E-2</v>
      </c>
      <c r="H26" s="31" t="s">
        <v>34</v>
      </c>
      <c r="I26" s="44">
        <f>+I11/I14</f>
        <v>7.56</v>
      </c>
      <c r="J26" s="44">
        <f>+J11/J14</f>
        <v>7.27</v>
      </c>
      <c r="K26" s="46">
        <f>+J26-I26</f>
        <v>-0.29000000000000004</v>
      </c>
      <c r="L26" s="34">
        <f>+K26/I26</f>
        <v>-3.8359788359788365E-2</v>
      </c>
    </row>
    <row r="27" spans="2:12" x14ac:dyDescent="0.3">
      <c r="B27" s="27"/>
      <c r="C27" s="27"/>
      <c r="D27" s="27"/>
      <c r="E27" s="29"/>
      <c r="F27" s="27"/>
      <c r="H27" s="27"/>
      <c r="I27" s="27"/>
      <c r="J27" s="27"/>
      <c r="K27" s="29"/>
      <c r="L27" s="27"/>
    </row>
    <row r="28" spans="2:12" ht="43.2" x14ac:dyDescent="0.3">
      <c r="B28" s="3" t="s">
        <v>23</v>
      </c>
      <c r="C28" s="22" t="s">
        <v>29</v>
      </c>
      <c r="D28" s="22" t="s">
        <v>30</v>
      </c>
      <c r="E28" s="30" t="s">
        <v>31</v>
      </c>
      <c r="F28" s="22" t="s">
        <v>28</v>
      </c>
      <c r="H28" s="3" t="s">
        <v>23</v>
      </c>
      <c r="I28" s="22" t="s">
        <v>73</v>
      </c>
      <c r="J28" s="22" t="s">
        <v>74</v>
      </c>
      <c r="K28" s="30" t="s">
        <v>75</v>
      </c>
      <c r="L28" s="22" t="s">
        <v>28</v>
      </c>
    </row>
    <row r="29" spans="2:12" x14ac:dyDescent="0.3">
      <c r="B29" s="31" t="s">
        <v>24</v>
      </c>
      <c r="C29" s="31">
        <v>350</v>
      </c>
      <c r="D29" s="31">
        <v>400</v>
      </c>
      <c r="E29" s="40">
        <f>+D29-C29</f>
        <v>50</v>
      </c>
      <c r="F29" s="45">
        <f>+E29/C29</f>
        <v>0.14285714285714285</v>
      </c>
      <c r="H29" s="31" t="s">
        <v>34</v>
      </c>
      <c r="I29" s="31">
        <f>+I14</f>
        <v>15367</v>
      </c>
      <c r="J29" s="31">
        <f>+J14</f>
        <v>14925</v>
      </c>
      <c r="K29" s="35">
        <f>+J29-I29</f>
        <v>-442</v>
      </c>
      <c r="L29" s="34">
        <f>+K29/I29</f>
        <v>-2.876293355892497E-2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9CAD-8784-4DCD-BE8A-DDE31ACE882A}">
  <dimension ref="A4:K9"/>
  <sheetViews>
    <sheetView zoomScale="80" zoomScaleNormal="80" workbookViewId="0">
      <selection activeCell="D12" sqref="D12"/>
    </sheetView>
  </sheetViews>
  <sheetFormatPr baseColWidth="10" defaultRowHeight="14.4" x14ac:dyDescent="0.3"/>
  <cols>
    <col min="1" max="2" width="29.09765625" customWidth="1"/>
    <col min="3" max="11" width="23.59765625" customWidth="1"/>
  </cols>
  <sheetData>
    <row r="4" spans="1:11" x14ac:dyDescent="0.3">
      <c r="A4" s="3" t="s">
        <v>50</v>
      </c>
      <c r="B4" s="57" t="s">
        <v>52</v>
      </c>
      <c r="C4" s="58" t="s">
        <v>42</v>
      </c>
      <c r="D4" s="58" t="s">
        <v>54</v>
      </c>
      <c r="E4" s="58" t="s">
        <v>58</v>
      </c>
      <c r="F4" s="58" t="s">
        <v>59</v>
      </c>
      <c r="G4" s="58" t="s">
        <v>43</v>
      </c>
      <c r="H4" s="58" t="s">
        <v>44</v>
      </c>
      <c r="I4" s="58" t="s">
        <v>45</v>
      </c>
      <c r="J4" s="58" t="s">
        <v>46</v>
      </c>
      <c r="K4" s="58" t="s">
        <v>47</v>
      </c>
    </row>
    <row r="5" spans="1:11" s="53" customFormat="1" ht="100.8" x14ac:dyDescent="0.3">
      <c r="A5" s="49" t="s">
        <v>51</v>
      </c>
      <c r="B5" s="50" t="s">
        <v>53</v>
      </c>
      <c r="C5" s="56" t="s">
        <v>70</v>
      </c>
      <c r="D5" s="50" t="s">
        <v>60</v>
      </c>
      <c r="E5" s="50" t="s">
        <v>55</v>
      </c>
      <c r="F5" s="50" t="s">
        <v>65</v>
      </c>
      <c r="G5" s="51">
        <v>45662</v>
      </c>
      <c r="H5" s="51">
        <v>45747</v>
      </c>
      <c r="I5" s="52" t="s">
        <v>66</v>
      </c>
      <c r="J5" s="50" t="s">
        <v>48</v>
      </c>
      <c r="K5" s="50" t="s">
        <v>68</v>
      </c>
    </row>
    <row r="6" spans="1:11" s="53" customFormat="1" ht="100.8" x14ac:dyDescent="0.3">
      <c r="A6" s="49"/>
      <c r="B6" s="49"/>
      <c r="C6" s="50"/>
      <c r="D6" s="50" t="s">
        <v>56</v>
      </c>
      <c r="E6" s="50" t="s">
        <v>57</v>
      </c>
      <c r="F6" s="50" t="s">
        <v>61</v>
      </c>
      <c r="G6" s="51">
        <v>45662</v>
      </c>
      <c r="H6" s="51">
        <v>45747</v>
      </c>
      <c r="I6" s="52" t="s">
        <v>67</v>
      </c>
      <c r="J6" s="50" t="s">
        <v>48</v>
      </c>
      <c r="K6" s="50" t="s">
        <v>49</v>
      </c>
    </row>
    <row r="7" spans="1:11" s="53" customFormat="1" ht="57.6" x14ac:dyDescent="0.3">
      <c r="A7" s="49"/>
      <c r="B7" s="49"/>
      <c r="C7" s="50"/>
      <c r="D7" s="50" t="s">
        <v>62</v>
      </c>
      <c r="E7" s="50" t="s">
        <v>63</v>
      </c>
      <c r="F7" s="50" t="s">
        <v>64</v>
      </c>
      <c r="G7" s="51">
        <v>45662</v>
      </c>
      <c r="H7" s="51">
        <v>45747</v>
      </c>
      <c r="I7" s="52" t="s">
        <v>69</v>
      </c>
      <c r="J7" s="50" t="s">
        <v>48</v>
      </c>
      <c r="K7" s="50" t="s">
        <v>49</v>
      </c>
    </row>
    <row r="8" spans="1:11" x14ac:dyDescent="0.3">
      <c r="C8" s="47"/>
    </row>
    <row r="9" spans="1:11" x14ac:dyDescent="0.3">
      <c r="C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Crecimiento Simple</vt:lpstr>
      <vt:lpstr>Empresa ACME Datos</vt:lpstr>
      <vt:lpstr>Empresa ACME Solucion</vt:lpstr>
      <vt:lpstr>Ejercicios modulo 1</vt:lpstr>
      <vt:lpstr>Ejemplo Plan de Mejora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Vasquez</dc:creator>
  <cp:lastModifiedBy>Luis Pedro Vasquez</cp:lastModifiedBy>
  <dcterms:created xsi:type="dcterms:W3CDTF">2024-11-11T00:30:06Z</dcterms:created>
  <dcterms:modified xsi:type="dcterms:W3CDTF">2025-01-02T04:27:47Z</dcterms:modified>
</cp:coreProperties>
</file>