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DMIN\Documents\01 TGA_CURSOS\Walmart\CURSO 01\01 produccion Curso 1\EJERCICIOS CURSO\"/>
    </mc:Choice>
  </mc:AlternateContent>
  <xr:revisionPtr revIDLastSave="0" documentId="13_ncr:1_{C4C75AB8-8D26-4F87-8834-82780036D9AF}" xr6:coauthVersionLast="47" xr6:coauthVersionMax="47" xr10:uidLastSave="{00000000-0000-0000-0000-000000000000}"/>
  <bookViews>
    <workbookView xWindow="-100" yWindow="-100" windowWidth="21467" windowHeight="11443" firstSheet="2" activeTab="6" xr2:uid="{EFB4AFDD-865D-49FF-AD0D-B7D1B296A476}"/>
  </bookViews>
  <sheets>
    <sheet name="Crecimiento Simple" sheetId="6" r:id="rId1"/>
    <sheet name="Empresa ACME Datos" sheetId="1" r:id="rId2"/>
    <sheet name="Cumplimiento Metas" sheetId="4" r:id="rId3"/>
    <sheet name="Cumplimiento Metas Solución" sheetId="8" r:id="rId4"/>
    <sheet name="Ejercicios modulo 2" sheetId="5" state="hidden" r:id="rId5"/>
    <sheet name="Resumen" sheetId="9" r:id="rId6"/>
    <sheet name="Ejemplo Plan de Mejora" sheetId="3" r:id="rId7"/>
  </sheets>
  <definedNames>
    <definedName name="_xlchart.v1.0" hidden="1">'Crecimiento Simple'!$D$4:$F$4</definedName>
    <definedName name="_xlchart.v1.1" hidden="1">'Crecimiento Simple'!$D$5:$F$5</definedName>
    <definedName name="_xlchart.v1.2" hidden="1">'Cumplimiento Metas'!$N$4:$P$4</definedName>
    <definedName name="_xlchart.v1.3" hidden="1">'Cumplimiento Metas'!$N$5:$P$5</definedName>
    <definedName name="_xlchart.v1.4" hidden="1">'Cumplimiento Metas'!$N$10:$P$10</definedName>
    <definedName name="_xlchart.v1.5" hidden="1">'Cumplimiento Metas'!$N$4:$P$4</definedName>
    <definedName name="_xlchart.v1.6" hidden="1">'Cumplimiento Metas Solución'!$N$4:$P$4</definedName>
    <definedName name="_xlchart.v1.7" hidden="1">'Cumplimiento Metas Solución'!$N$5:$P$5</definedName>
    <definedName name="_xlchart.v1.8" hidden="1">'Cumplimiento Metas Solución'!$N$4:$P$4</definedName>
    <definedName name="_xlchart.v1.9" hidden="1">'Cumplimiento Metas Solución'!$N$8:$P$8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8" i="9" l="1"/>
  <c r="H7" i="9"/>
  <c r="H6" i="9"/>
  <c r="G8" i="9"/>
  <c r="G7" i="9"/>
  <c r="G6" i="9"/>
  <c r="C15" i="9"/>
  <c r="C14" i="9"/>
  <c r="C13" i="9"/>
  <c r="D15" i="9"/>
  <c r="D14" i="9"/>
  <c r="D13" i="9"/>
  <c r="D8" i="9"/>
  <c r="D7" i="9"/>
  <c r="D6" i="9"/>
  <c r="C8" i="9"/>
  <c r="C7" i="9"/>
  <c r="C6" i="9"/>
  <c r="M20" i="4"/>
  <c r="M19" i="4"/>
  <c r="M18" i="4"/>
  <c r="L20" i="4"/>
  <c r="L19" i="4"/>
  <c r="L18" i="4"/>
  <c r="K20" i="4"/>
  <c r="J20" i="4"/>
  <c r="K19" i="4"/>
  <c r="J19" i="4"/>
  <c r="K18" i="4"/>
  <c r="J18" i="4"/>
  <c r="F27" i="4"/>
  <c r="E27" i="4"/>
  <c r="D27" i="4"/>
  <c r="C27" i="4"/>
  <c r="F26" i="4"/>
  <c r="E26" i="4"/>
  <c r="F25" i="4"/>
  <c r="E25" i="4"/>
  <c r="F20" i="4"/>
  <c r="E20" i="4"/>
  <c r="D20" i="4"/>
  <c r="C20" i="4"/>
  <c r="F19" i="4"/>
  <c r="E19" i="4"/>
  <c r="F18" i="4"/>
  <c r="E18" i="4"/>
  <c r="C26" i="8"/>
  <c r="C22" i="8" s="1"/>
  <c r="C25" i="8"/>
  <c r="C32" i="8" s="1"/>
  <c r="J20" i="8"/>
  <c r="D20" i="8"/>
  <c r="C20" i="8"/>
  <c r="E20" i="8" s="1"/>
  <c r="F20" i="8" s="1"/>
  <c r="J19" i="8"/>
  <c r="E19" i="8"/>
  <c r="F19" i="8" s="1"/>
  <c r="J18" i="8"/>
  <c r="E18" i="8"/>
  <c r="F18" i="8" s="1"/>
  <c r="C7" i="8"/>
  <c r="G7" i="8" s="1"/>
  <c r="G6" i="8"/>
  <c r="P5" i="8"/>
  <c r="O5" i="8"/>
  <c r="N5" i="8"/>
  <c r="P8" i="8" s="1"/>
  <c r="G5" i="8"/>
  <c r="K20" i="1"/>
  <c r="L20" i="1" s="1"/>
  <c r="K19" i="1"/>
  <c r="L19" i="1" s="1"/>
  <c r="K18" i="1"/>
  <c r="L18" i="1" s="1"/>
  <c r="E27" i="1"/>
  <c r="D27" i="1"/>
  <c r="D26" i="1"/>
  <c r="E26" i="1" s="1"/>
  <c r="D25" i="1"/>
  <c r="E25" i="1" s="1"/>
  <c r="D20" i="1"/>
  <c r="E20" i="1" s="1"/>
  <c r="E19" i="1"/>
  <c r="D19" i="1"/>
  <c r="E18" i="1"/>
  <c r="D18" i="1"/>
  <c r="D5" i="6"/>
  <c r="F5" i="6"/>
  <c r="B7" i="6"/>
  <c r="E5" i="6" s="1"/>
  <c r="Y26" i="1"/>
  <c r="Y25" i="1"/>
  <c r="AD26" i="1"/>
  <c r="AD25" i="1"/>
  <c r="AC26" i="1"/>
  <c r="AC25" i="1"/>
  <c r="AC27" i="1" s="1"/>
  <c r="I31" i="5"/>
  <c r="J14" i="5"/>
  <c r="J31" i="5" s="1"/>
  <c r="J4" i="5"/>
  <c r="J11" i="5" s="1"/>
  <c r="D14" i="5"/>
  <c r="D31" i="5" s="1"/>
  <c r="E14" i="5"/>
  <c r="F14" i="5" s="1"/>
  <c r="I26" i="5"/>
  <c r="I23" i="5"/>
  <c r="C23" i="5"/>
  <c r="C26" i="4"/>
  <c r="D26" i="4" s="1"/>
  <c r="C25" i="4"/>
  <c r="N10" i="4"/>
  <c r="C26" i="1"/>
  <c r="S26" i="1" s="1"/>
  <c r="U26" i="1" s="1"/>
  <c r="B26" i="1"/>
  <c r="AF26" i="1" s="1"/>
  <c r="C20" i="1"/>
  <c r="B20" i="1"/>
  <c r="C25" i="1"/>
  <c r="J18" i="1" s="1"/>
  <c r="B25" i="1"/>
  <c r="C33" i="8" l="1"/>
  <c r="C40" i="8" s="1"/>
  <c r="O8" i="8"/>
  <c r="D25" i="4"/>
  <c r="C47" i="8"/>
  <c r="C39" i="8"/>
  <c r="C34" i="8"/>
  <c r="C21" i="8"/>
  <c r="D26" i="8"/>
  <c r="N8" i="8"/>
  <c r="C27" i="8"/>
  <c r="D25" i="8"/>
  <c r="J19" i="1"/>
  <c r="B21" i="1"/>
  <c r="AE25" i="1"/>
  <c r="I19" i="1"/>
  <c r="C21" i="1"/>
  <c r="AD27" i="1"/>
  <c r="AE27" i="1" s="1"/>
  <c r="B27" i="1"/>
  <c r="I20" i="1" s="1"/>
  <c r="AG26" i="1"/>
  <c r="AH26" i="1" s="1"/>
  <c r="U29" i="1"/>
  <c r="Y29" i="1" s="1"/>
  <c r="Z29" i="1" s="1"/>
  <c r="C27" i="1"/>
  <c r="S27" i="1" s="1"/>
  <c r="B22" i="1"/>
  <c r="AE26" i="1"/>
  <c r="C22" i="1"/>
  <c r="AF25" i="1"/>
  <c r="AF27" i="1" s="1"/>
  <c r="S25" i="1"/>
  <c r="U25" i="1" s="1"/>
  <c r="U27" i="1" s="1"/>
  <c r="AG25" i="1"/>
  <c r="I18" i="1"/>
  <c r="Z26" i="1"/>
  <c r="Y27" i="1"/>
  <c r="J26" i="5"/>
  <c r="K14" i="5"/>
  <c r="L14" i="5" s="1"/>
  <c r="K26" i="5"/>
  <c r="L26" i="5" s="1"/>
  <c r="J23" i="5"/>
  <c r="K23" i="5" s="1"/>
  <c r="L23" i="5" s="1"/>
  <c r="K11" i="5"/>
  <c r="L11" i="5" s="1"/>
  <c r="D26" i="5"/>
  <c r="E26" i="5" s="1"/>
  <c r="F26" i="5" s="1"/>
  <c r="E31" i="5"/>
  <c r="F31" i="5" s="1"/>
  <c r="K31" i="5"/>
  <c r="L31" i="5" s="1"/>
  <c r="P10" i="4"/>
  <c r="O10" i="4"/>
  <c r="C22" i="4"/>
  <c r="D27" i="8" l="1"/>
  <c r="K20" i="8" s="1"/>
  <c r="L20" i="8" s="1"/>
  <c r="M20" i="8" s="1"/>
  <c r="D32" i="8"/>
  <c r="K18" i="8"/>
  <c r="L18" i="8" s="1"/>
  <c r="M18" i="8" s="1"/>
  <c r="E27" i="8"/>
  <c r="F27" i="8" s="1"/>
  <c r="D33" i="8"/>
  <c r="K19" i="8"/>
  <c r="L19" i="8" s="1"/>
  <c r="M19" i="8" s="1"/>
  <c r="E25" i="8"/>
  <c r="F25" i="8" s="1"/>
  <c r="C41" i="8"/>
  <c r="C46" i="8"/>
  <c r="E26" i="8"/>
  <c r="F26" i="8" s="1"/>
  <c r="W26" i="1"/>
  <c r="Z25" i="1"/>
  <c r="W27" i="1"/>
  <c r="Z27" i="1"/>
  <c r="W25" i="1"/>
  <c r="AH25" i="1"/>
  <c r="AG27" i="1"/>
  <c r="AH27" i="1" s="1"/>
  <c r="J20" i="1"/>
  <c r="C48" i="8" l="1"/>
  <c r="D40" i="8"/>
  <c r="E33" i="8"/>
  <c r="F33" i="8" s="1"/>
  <c r="D39" i="8"/>
  <c r="D34" i="8"/>
  <c r="E34" i="8" s="1"/>
  <c r="F34" i="8" s="1"/>
  <c r="E32" i="8"/>
  <c r="F32" i="8" s="1"/>
  <c r="Z28" i="1"/>
  <c r="D46" i="8" l="1"/>
  <c r="E46" i="8" s="1"/>
  <c r="D41" i="8"/>
  <c r="E39" i="8"/>
  <c r="F39" i="8" s="1"/>
  <c r="D47" i="8"/>
  <c r="E47" i="8" s="1"/>
  <c r="E40" i="8"/>
  <c r="F40" i="8" s="1"/>
  <c r="D48" i="8" l="1"/>
  <c r="E48" i="8" s="1"/>
  <c r="E41" i="8"/>
  <c r="F41" i="8" s="1"/>
  <c r="D4" i="5"/>
  <c r="D11" i="5" s="1"/>
  <c r="E11" i="5" l="1"/>
  <c r="F11" i="5" s="1"/>
  <c r="D23" i="5"/>
  <c r="E23" i="5" s="1"/>
  <c r="F23" i="5" s="1"/>
</calcChain>
</file>

<file path=xl/sharedStrings.xml><?xml version="1.0" encoding="utf-8"?>
<sst xmlns="http://schemas.openxmlformats.org/spreadsheetml/2006/main" count="375" uniqueCount="168">
  <si>
    <t>Mes Anterior</t>
  </si>
  <si>
    <t>Mes Actual</t>
  </si>
  <si>
    <t>Crecimiento en $</t>
  </si>
  <si>
    <t>Crecimiento</t>
  </si>
  <si>
    <t>Crecimiento en Dólares</t>
  </si>
  <si>
    <t xml:space="preserve">Crecimiento en Dólares </t>
  </si>
  <si>
    <t>Producto 1</t>
  </si>
  <si>
    <t>Producto 2</t>
  </si>
  <si>
    <t>Año 2023</t>
  </si>
  <si>
    <t>Año 2024</t>
  </si>
  <si>
    <t>Crecimiento  Porcentual</t>
  </si>
  <si>
    <t>Crecimiento en Cajas</t>
  </si>
  <si>
    <t>Empresa ACME 
Análisis de crecimiento en dólares</t>
  </si>
  <si>
    <t>Empresa ACME 
Análisis de crecimiento en cajas</t>
  </si>
  <si>
    <t>Análisis</t>
  </si>
  <si>
    <t>Empresa ACME 
Análisis de porcentaje de margen de contribución</t>
  </si>
  <si>
    <t>Total Margen Porcentual Empresa</t>
  </si>
  <si>
    <t>Total Crecimiento de Ventas en Cajas  Empresa</t>
  </si>
  <si>
    <t>Total Crecimiento Ventas en US$ Empresa</t>
  </si>
  <si>
    <t>Producto</t>
  </si>
  <si>
    <t>Chocolates</t>
  </si>
  <si>
    <t>Vestidos</t>
  </si>
  <si>
    <t>$ 525 / 350</t>
  </si>
  <si>
    <t>Ejemplo del cálculo de precio promedio</t>
  </si>
  <si>
    <t>$ 116,174.52/15,367</t>
  </si>
  <si>
    <t>Logro 2024</t>
  </si>
  <si>
    <t>Presupuesto</t>
  </si>
  <si>
    <t>Variación</t>
  </si>
  <si>
    <t>No cumplimiento</t>
  </si>
  <si>
    <t>Conclusión</t>
  </si>
  <si>
    <t>Cumplimiento porcentual en dólares</t>
  </si>
  <si>
    <t>Cumplimiento porcentual en volumen</t>
  </si>
  <si>
    <t>Resultado Real</t>
  </si>
  <si>
    <t>Variación al presupuesto en $</t>
  </si>
  <si>
    <t>Variación al presupuesto en volumen</t>
  </si>
  <si>
    <t>Logro del mes</t>
  </si>
  <si>
    <t xml:space="preserve">Logro de Presupuesto en </t>
  </si>
  <si>
    <t>$</t>
  </si>
  <si>
    <t>%</t>
  </si>
  <si>
    <t>La Base</t>
  </si>
  <si>
    <t>Presupuesto $</t>
  </si>
  <si>
    <t>Presupuesto Cajas</t>
  </si>
  <si>
    <t>Empresa ACME 
Análisis de cumplimiento en dólares</t>
  </si>
  <si>
    <t xml:space="preserve">cumplimiento en Dólares </t>
  </si>
  <si>
    <t>Total cumplimiento Ventas en US$ Empresa</t>
  </si>
  <si>
    <t>Empresa ACME 
Análisis de cumplimiento en cajas</t>
  </si>
  <si>
    <t>cumplimiento en Cajas</t>
  </si>
  <si>
    <t>Total cumplimiento de Ventas en Cajas  Empresa</t>
  </si>
  <si>
    <t>Empresa ACME 
Análisis de cumplimiento del costo de ventas</t>
  </si>
  <si>
    <t>cumplimiento en costo de ventas total</t>
  </si>
  <si>
    <t>cumplimiento  Porcentual</t>
  </si>
  <si>
    <t>Total cumplimiento Costo de Ventas Empresa</t>
  </si>
  <si>
    <t>Empresa ACME 
Análisis de cumplimiento del margen de contribución</t>
  </si>
  <si>
    <t>Total cumplimiento Margen Total en US$ Empresa</t>
  </si>
  <si>
    <t>cumplimiento en el porcentaje de margen</t>
  </si>
  <si>
    <t>cumplimiento</t>
  </si>
  <si>
    <t>Decumplimiento</t>
  </si>
  <si>
    <t>Excede Cumplimiento</t>
  </si>
  <si>
    <t>Total cumplimiento precio promedio en $ Empresa</t>
  </si>
  <si>
    <t>Total Crecimiento precio promedio en $</t>
  </si>
  <si>
    <t>Empresa ACME 
Análisis de crecimiento en precios promedio en dólares</t>
  </si>
  <si>
    <t>Venta del año en $</t>
  </si>
  <si>
    <t>Venta del año en cajas</t>
  </si>
  <si>
    <t>Precio Promedio del año</t>
  </si>
  <si>
    <t>Venta presupuesto en $</t>
  </si>
  <si>
    <t>Venta presupuesto en cajas</t>
  </si>
  <si>
    <t>Precio Promedio presupuesto</t>
  </si>
  <si>
    <t>Resultado cumplimiento en $</t>
  </si>
  <si>
    <t>Resultado cumplimiento en %</t>
  </si>
  <si>
    <t>Resultado cumplimiento en cajas</t>
  </si>
  <si>
    <t>Venta del año en unidades</t>
  </si>
  <si>
    <t>Venta presupuesto en unidades</t>
  </si>
  <si>
    <t>Resultado cumplimiento en unidades</t>
  </si>
  <si>
    <t>Ejercicio 4</t>
  </si>
  <si>
    <t>Ejercicio 3</t>
  </si>
  <si>
    <t>$ 800 / 500</t>
  </si>
  <si>
    <t>$ 109,050.00 / 15,000</t>
  </si>
  <si>
    <t>Empresa ACME 
Análisis de cumplimiento de precios promidio en dólares</t>
  </si>
  <si>
    <t>Ventas en $ año 2023</t>
  </si>
  <si>
    <t>Ventas en $ año 2024</t>
  </si>
  <si>
    <t>Ventas en unidades 2023</t>
  </si>
  <si>
    <t>Ventas en unidades 2024</t>
  </si>
  <si>
    <t>% de crecimiento total en $</t>
  </si>
  <si>
    <t>EXPLICACION DEL CRECIMIENTO TOTAL</t>
  </si>
  <si>
    <t>Variación de los precios</t>
  </si>
  <si>
    <t>$13.74 - $12.74 = $ 1</t>
  </si>
  <si>
    <t>$8.50 - $ 9.54 = - $ 1.04</t>
  </si>
  <si>
    <t>Volumen 2024</t>
  </si>
  <si>
    <t>Variación $ por Volumen</t>
  </si>
  <si>
    <t>% Variación del volumen</t>
  </si>
  <si>
    <t>Cálculo</t>
  </si>
  <si>
    <t xml:space="preserve">Total = </t>
  </si>
  <si>
    <t>Precio 2023</t>
  </si>
  <si>
    <t>Variación del volumen</t>
  </si>
  <si>
    <t>2075 - 1984 = 91</t>
  </si>
  <si>
    <t>1326 -1349 = -23</t>
  </si>
  <si>
    <t>-23 * $ 9.54</t>
  </si>
  <si>
    <t>Variación total</t>
  </si>
  <si>
    <t>91 * $ 12.7448</t>
  </si>
  <si>
    <t>$2075 * $ 0.9995</t>
  </si>
  <si>
    <t>$ 1326 * - $ 1.0422</t>
  </si>
  <si>
    <t>Ventas base (2023)</t>
  </si>
  <si>
    <t>Variación financiera por volumen
(Diferencia de Volumen) x Precio 2023</t>
  </si>
  <si>
    <t>Variación financiera por precios
(Diferencia de Precios) x Volumen 2024</t>
  </si>
  <si>
    <t>Mismo mes LY</t>
  </si>
  <si>
    <t>Mismo mes CY</t>
  </si>
  <si>
    <t>Se solicita</t>
  </si>
  <si>
    <t>1. Calculo de cumplimiento absoluto y porcentual del presupuesto de venta en dólares</t>
  </si>
  <si>
    <t>2. Calculo de cumplimiento absoluto y porcentual del presupuesto de venta en cajas</t>
  </si>
  <si>
    <t>3. Calculo de cumplimiento absoluto y porcentual del presupuesto de precio promedio</t>
  </si>
  <si>
    <t>4. Hacer un análisis</t>
  </si>
  <si>
    <t>Variación contra presupuesto</t>
  </si>
  <si>
    <t>Presupuesto del mes</t>
  </si>
  <si>
    <t>Resultado Real o logro</t>
  </si>
  <si>
    <t>Cumplimiento</t>
  </si>
  <si>
    <t>Crecimiento y cumplimiento de ventas en US$</t>
  </si>
  <si>
    <t>Crecimiento y cumplimiento de ventas en Cajas</t>
  </si>
  <si>
    <t>Crecimiento y cumplimiento de precios promedio</t>
  </si>
  <si>
    <t>PRIMER POR QUÉ</t>
  </si>
  <si>
    <t>SEGUNDO POR QUÉ</t>
  </si>
  <si>
    <t>1. NO SE COMPRÓ SUFICIENTE MATERIA PRIMA
2. LOS PROVEEDORES NO ATENDIERON EN TIEMPO LOS PEDIDOS DE EMPAQUES</t>
  </si>
  <si>
    <t>TERCER POR QUÉ</t>
  </si>
  <si>
    <t>ANALISIS REALIZADO</t>
  </si>
  <si>
    <t>RESULTADO FINAL</t>
  </si>
  <si>
    <t>CUARTO POR QUÉ</t>
  </si>
  <si>
    <t>QUINTO POR QUÉ</t>
  </si>
  <si>
    <t>PLAN DE ACCION</t>
  </si>
  <si>
    <t>MEJORA DE FILLRATE</t>
  </si>
  <si>
    <t>MEJORA DE NEGOCIACION CON CLIENTE</t>
  </si>
  <si>
    <t>TOPICO</t>
  </si>
  <si>
    <t>AREA</t>
  </si>
  <si>
    <t>OPERACIONES</t>
  </si>
  <si>
    <t>VENTAS</t>
  </si>
  <si>
    <t>CREAR MODELO DE SEGUIMIENTO A LA ROTACION DE INVENTARIOS ACORDE A LA DEMANDA</t>
  </si>
  <si>
    <t>MEJORAR COMUNICACIÓN CON COMPRADOR/RESURTIDOR</t>
  </si>
  <si>
    <t>RESPONSABLE</t>
  </si>
  <si>
    <t>FECHA LIMITE</t>
  </si>
  <si>
    <t>GERENCIA G.</t>
  </si>
  <si>
    <t>RECURSOS</t>
  </si>
  <si>
    <t>ES NECESARIO CONTAR CON UN SISTEMA QUE BRINDE EL INFORME DE ROTACION DE LOS INVENTARIOS POR PRODUCTO</t>
  </si>
  <si>
    <t>ACCIONES CLAVE</t>
  </si>
  <si>
    <t>1.- EXTRAER INFORMACION DEL ERP
2.- CONVERTIRLO EN UN MODELO AUTOMATIZADO DE ROTACION VS LA DEMANDA</t>
  </si>
  <si>
    <t>HACER REUNION / LLAMADA CON COMPRADOR - RESURTIDOR</t>
  </si>
  <si>
    <t>QUÉ QUEREMOS CORREGIR?</t>
  </si>
  <si>
    <t>1. LA GG ESTÁ SOBRECARGADA DE ACTIVIDADES Y NO HAY QUIEN CONTROLE Y PLANIFIQUE LOS INVENTARIOS.
2. FALTA MEJORAR PROCESOS INTERNOS DE COORDINACION Y ORDEN DE BODEGAS
3. EL SISTEMA ACTUAL SOLO BRINDA UN INFORME DE EXISTENCIAS, PERO NO ESTÁ UNIDO A LA ROTACIÓN DEL INVENTARIO
4. NO HAY REUNIONES SEMANALES RUTINARIAS DE EVALUACION DE ACTIVIDADES Y PLANIFICACION</t>
  </si>
  <si>
    <t>1. EN LA COMUNICACIÓN CON COMPRADOR USAMOS CORREOS GENERICOS TIPO GMAIL, HOTMAIL.  NO TENEMOS DOMINIO PROPIO NI WEBSITE.
2. NO HEMOS ACTUALIZADO DATOS DEL AREA COMERCIAL Y NOS HAN ESTADO ENVIANDO CORREOS A UNO QUE YA NO SE UTILIZA.
3. SE CAMBIO NUMERO DE TELEFONO DEL AREA DE VENTAS</t>
  </si>
  <si>
    <t>1. PROBLEMA DE FLUJO DE EFECTIVO PARA PAGO A PROVEEDORES
2. EL EMPAQUE DEBE SOLICITARSE CON 120 DÍAS DE ANTICIPACION PORQUE ES IMPORTADO</t>
  </si>
  <si>
    <t>FLUJO DE EFECTIVO</t>
  </si>
  <si>
    <t>FINANZAS</t>
  </si>
  <si>
    <t>1. HACER UN ANALISIS DE FLUJO DE EFECTIVO DE PREFERENCIA EN BASE A LOS BALANCES MENSUALES
2. HACER UNA HOJA DE PLANIFICACION SEMANAL DE EFECTIVO EN EXCEL QUE INTEGRE LA CXC LA CXP Y LOS GASTOS, IMPUESTOS, PLANILLAS, ETC</t>
  </si>
  <si>
    <t>CONTABILIDAD</t>
  </si>
  <si>
    <t>1.  PAGAR SOPORTE TÉCNICO Y LA ACTUALIZACION DEL SISTEMA.
2. CAPACITACION PORQUE NO LA HA RECIBIDO
3. EVALUAR UN NUEVO SISTEMA</t>
  </si>
  <si>
    <t>TIEMPO DEL COMPRADOR/RESURTIDOR</t>
  </si>
  <si>
    <t>1. HACER DASHBOARD DE ROTACION VS EXISTENCIAS AUTOMATIZADO
2. NECESARIO CONTAR CON MAS CAPACITACION DE TODO EL EQUIPO EN INFORMES
3. HACER REUNIONES SEMANALES TIPO COMITÉ PARA ANALIZAR RESULTADOS Y PLANES DE ACCION
4. CONTRATAR UN AUXILIAR CONTABLE Y UN ENCARGADO DE BODEGA/LOGISTICA</t>
  </si>
  <si>
    <t>FECHA</t>
  </si>
  <si>
    <t>LOGRAR NUESTROS PRESUPUESTOS DE INGRESOS</t>
  </si>
  <si>
    <t>Y COMO CONSECUENCIA LOGRAR NUESTROS PRESUPUESTOS DE MARGEN Y UTILIDADES</t>
  </si>
  <si>
    <t>CUMPLIMIENTO DE PRESUPUESTO TOTAL DE 83.52% DE VENTA EN DÓLARES</t>
  </si>
  <si>
    <t>VENTA EN CAJAS DE UN 86.07%</t>
  </si>
  <si>
    <t>GERENCIA AUTORIZÓ DESCUENTOS ADICIONALES EN ALGUNOS CANALES DE VENTA PARA LOGRAR ACUERDOS DE VOLUMEN EN TEMPORADA</t>
  </si>
  <si>
    <t>G.G.
BUSCAR ASESORIA PARA EXTRAER DATOS DEL SISTEMA Y DESARROLLAR METODOLOGIA</t>
  </si>
  <si>
    <t>NO LOGRO DE META DE PRECIOS DE VENTA. SE VENDIO EN PROMEDIO UN 3% ABAJO DEL PLAN</t>
  </si>
  <si>
    <t>FILLRATE PRODUCTO 1  73%
FRILRATE PRODUCTO 2 79%
OBSERVACION:
SE PODRIA HABER LOGRADO EL 100% DE PRESUPUESTO LOGRADO FILLRATE DE 95%</t>
  </si>
  <si>
    <t>1. LAS ORDENES DE COMPRA DE CLIENTES LLEGARON MUY AJUSTADAS EN TIEMPO Y NO FUE POSIBLE REACCIONAR CON EL APROVISIONAMIENTO Y ESTO HIZO QUE LA GERENCIA AUTORIZARA DESCUENTOS ADICIONALES</t>
  </si>
  <si>
    <t xml:space="preserve">1. NO HUBO PLANIFICACION DE LA PRODUCCION PARA HACER LAS COMPRAS CON SUFICIENTE ANTICIPACION.  NO SABEN COMO HACER UN PLAN DE TEMPORADA.  GENERALMENTE EL PLAN LO HACE LA GERENCIA GENERAL
2. NO SE AJUSTAN LOS INVENTARIOS EN FUNCION DE  LA DEMANDA, SE HACE LA PRODUCCION DE FORMA REACTIVA
</t>
  </si>
  <si>
    <t xml:space="preserve">
1. HACER UN PLAN DE EMPAQUES CON SUFICIENTE ANTICIPACION PARA ENVIARLO AL PROVEEDOR
2. HACER UN ANÁLISIS POR DIFERENCIA DE BALANCES  PARA VER POR QUÉ HAY PROBLEMAS DE FLUJO DE EFECTIVO
NO HAY ESTADOS FINANCIEROS ACTUALIZADOS - 3 MESES DE RETRASO.</t>
  </si>
  <si>
    <t>1. NO HAY INFORME INTEGRADO DE EXISTENCIAS CON LA ROTACION DE VENTAS
HAY UN ELEMENTO DENTRO DE NUESTRO CONTROL
2  ANALIZAR SI ES POSIBLE MANTENER UN STOCK ADICIONAL DE TEMPORADA
NO HAY REUNIONES DE COORDINACION BASADAS EN DATOS.</t>
  </si>
  <si>
    <t>1. ANALIZAR CON COMPRADOR DEL CLIENTE POR QUE SE AVISÓ CON POCA ANTICIPACION LA ACTIVIDAD COMERCIAL DE TEMPORADA (POR QUE SE ENVIARON LAS ORDENES DE COMPRA TAN AJUSTADAS A LA TEMPORADA).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</si>
</sst>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43" formatCode="_-* #,##0.00_-;\-* #,##0.00_-;_-* &quot;-&quot;??_-;_-@_-"/>
    <numFmt numFmtId="164" formatCode="0.0%"/>
    <numFmt numFmtId="165" formatCode="_-* #,##0_-;\-* #,##0_-;_-* &quot;-&quot;??_-;_-@_-"/>
    <numFmt numFmtId="166" formatCode="0.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1"/>
      <color theme="0"/>
      <name val="Calibri"/>
      <family val="2"/>
      <scheme val="minor"/>
    </font>
    <font>
      <sz val="11"/>
      <color theme="1"/>
      <name val="Forte"/>
      <family val="4"/>
    </font>
    <font>
      <b/>
      <sz val="11"/>
      <name val="Calibri"/>
      <family val="2"/>
      <scheme val="minor"/>
    </font>
    <font>
      <sz val="11"/>
      <color rgb="FFFF0000"/>
      <name val="Calibri"/>
      <family val="2"/>
      <scheme val="minor"/>
    </font>
    <font>
      <b/>
      <sz val="16"/>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FF9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BD5DA"/>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1">
    <xf numFmtId="0" fontId="0" fillId="0" borderId="0" xfId="0"/>
    <xf numFmtId="44" fontId="0" fillId="0" borderId="0" xfId="2" applyFont="1"/>
    <xf numFmtId="44" fontId="0" fillId="0" borderId="1" xfId="2" applyFont="1" applyBorder="1"/>
    <xf numFmtId="0" fontId="2" fillId="0" borderId="0" xfId="0" applyFont="1"/>
    <xf numFmtId="44" fontId="2" fillId="0" borderId="0" xfId="0" applyNumberFormat="1" applyFont="1"/>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vertical="center" wrapText="1"/>
    </xf>
    <xf numFmtId="44" fontId="2" fillId="2" borderId="2" xfId="0" applyNumberFormat="1" applyFont="1" applyFill="1" applyBorder="1"/>
    <xf numFmtId="10" fontId="2" fillId="2" borderId="2" xfId="3" applyNumberFormat="1" applyFont="1" applyFill="1" applyBorder="1"/>
    <xf numFmtId="0" fontId="2" fillId="0" borderId="2" xfId="0" applyFont="1" applyBorder="1"/>
    <xf numFmtId="44" fontId="2" fillId="0" borderId="2" xfId="2" applyFont="1" applyBorder="1"/>
    <xf numFmtId="10" fontId="2" fillId="0" borderId="2" xfId="3" applyNumberFormat="1" applyFont="1" applyBorder="1"/>
    <xf numFmtId="44" fontId="2" fillId="2" borderId="2" xfId="2" applyFont="1" applyFill="1" applyBorder="1"/>
    <xf numFmtId="0" fontId="3" fillId="0" borderId="2" xfId="0" applyFont="1" applyBorder="1"/>
    <xf numFmtId="10" fontId="3" fillId="0" borderId="2" xfId="3" applyNumberFormat="1" applyFont="1" applyBorder="1"/>
    <xf numFmtId="164" fontId="2" fillId="0" borderId="2" xfId="3" applyNumberFormat="1" applyFont="1" applyBorder="1"/>
    <xf numFmtId="164" fontId="3" fillId="0" borderId="2" xfId="3" applyNumberFormat="1" applyFont="1" applyBorder="1"/>
    <xf numFmtId="0" fontId="2" fillId="0" borderId="2" xfId="0" applyFont="1" applyBorder="1" applyAlignment="1">
      <alignment horizontal="center"/>
    </xf>
    <xf numFmtId="44" fontId="3" fillId="0" borderId="2" xfId="2" applyFont="1" applyBorder="1"/>
    <xf numFmtId="165" fontId="2" fillId="0" borderId="2" xfId="1" applyNumberFormat="1" applyFont="1" applyBorder="1"/>
    <xf numFmtId="165" fontId="2" fillId="2" borderId="2" xfId="1" applyNumberFormat="1" applyFont="1" applyFill="1" applyBorder="1"/>
    <xf numFmtId="43" fontId="0" fillId="0" borderId="0" xfId="0" applyNumberFormat="1"/>
    <xf numFmtId="0" fontId="2" fillId="0" borderId="2" xfId="0" applyFont="1" applyBorder="1" applyAlignment="1">
      <alignment horizontal="center" vertical="center" wrapText="1"/>
    </xf>
    <xf numFmtId="0" fontId="2" fillId="2" borderId="2" xfId="0" applyFont="1" applyFill="1" applyBorder="1" applyAlignment="1">
      <alignment wrapText="1"/>
    </xf>
    <xf numFmtId="164" fontId="3" fillId="2" borderId="2" xfId="3" applyNumberFormat="1" applyFont="1" applyFill="1" applyBorder="1"/>
    <xf numFmtId="10" fontId="3" fillId="2" borderId="2" xfId="3" applyNumberFormat="1" applyFont="1" applyFill="1" applyBorder="1"/>
    <xf numFmtId="0" fontId="0" fillId="0" borderId="2" xfId="0" applyBorder="1"/>
    <xf numFmtId="10" fontId="0" fillId="0" borderId="2" xfId="3" applyNumberFormat="1" applyFont="1" applyBorder="1"/>
    <xf numFmtId="44" fontId="0" fillId="0" borderId="2" xfId="2" applyFont="1" applyBorder="1"/>
    <xf numFmtId="44" fontId="2" fillId="0" borderId="2" xfId="2" applyFont="1" applyBorder="1" applyAlignment="1">
      <alignment horizontal="center" vertical="center" wrapText="1"/>
    </xf>
    <xf numFmtId="165" fontId="0" fillId="0" borderId="2" xfId="1" applyNumberFormat="1" applyFont="1" applyBorder="1"/>
    <xf numFmtId="165" fontId="0" fillId="0" borderId="0" xfId="1" applyNumberFormat="1" applyFont="1"/>
    <xf numFmtId="44" fontId="2" fillId="7" borderId="2" xfId="2" applyFont="1" applyFill="1" applyBorder="1"/>
    <xf numFmtId="10" fontId="2" fillId="7" borderId="2" xfId="3" applyNumberFormat="1" applyFont="1" applyFill="1" applyBorder="1"/>
    <xf numFmtId="165" fontId="2" fillId="7" borderId="2" xfId="1" applyNumberFormat="1" applyFont="1" applyFill="1" applyBorder="1"/>
    <xf numFmtId="10" fontId="0" fillId="0" borderId="0" xfId="3" applyNumberFormat="1" applyFont="1"/>
    <xf numFmtId="10" fontId="2" fillId="0" borderId="2" xfId="3" applyNumberFormat="1" applyFont="1" applyBorder="1" applyAlignment="1">
      <alignment horizontal="center" vertical="center" wrapText="1"/>
    </xf>
    <xf numFmtId="44" fontId="2" fillId="4" borderId="2" xfId="2" applyFont="1" applyFill="1" applyBorder="1"/>
    <xf numFmtId="10" fontId="2" fillId="4" borderId="2" xfId="3" applyNumberFormat="1" applyFont="1" applyFill="1" applyBorder="1"/>
    <xf numFmtId="165" fontId="2" fillId="4" borderId="2" xfId="1" applyNumberFormat="1" applyFont="1" applyFill="1" applyBorder="1"/>
    <xf numFmtId="165" fontId="2" fillId="0" borderId="2" xfId="1" applyNumberFormat="1" applyFont="1" applyFill="1" applyBorder="1"/>
    <xf numFmtId="44" fontId="2" fillId="0" borderId="2" xfId="2" applyFont="1" applyFill="1" applyBorder="1"/>
    <xf numFmtId="10" fontId="2" fillId="0" borderId="2" xfId="3" applyNumberFormat="1" applyFont="1" applyFill="1" applyBorder="1"/>
    <xf numFmtId="44" fontId="0" fillId="0" borderId="2" xfId="2" applyNumberFormat="1" applyFont="1" applyBorder="1"/>
    <xf numFmtId="0" fontId="2" fillId="0" borderId="0" xfId="0" applyFont="1" applyAlignment="1">
      <alignment horizontal="left" vertical="center" indent="1"/>
    </xf>
    <xf numFmtId="0" fontId="0" fillId="0" borderId="2" xfId="0" applyBorder="1" applyAlignment="1">
      <alignment vertical="top"/>
    </xf>
    <xf numFmtId="0" fontId="0" fillId="0" borderId="2" xfId="0" applyBorder="1" applyAlignment="1">
      <alignment vertical="top" wrapText="1"/>
    </xf>
    <xf numFmtId="0" fontId="0" fillId="0" borderId="0" xfId="0" applyAlignment="1">
      <alignment vertical="top"/>
    </xf>
    <xf numFmtId="0" fontId="2" fillId="8" borderId="2" xfId="0" applyFont="1" applyFill="1" applyBorder="1" applyAlignment="1">
      <alignment horizontal="center" vertical="center" wrapText="1"/>
    </xf>
    <xf numFmtId="0" fontId="2" fillId="2" borderId="2" xfId="0" applyFont="1" applyFill="1" applyBorder="1"/>
    <xf numFmtId="0" fontId="5" fillId="0" borderId="0" xfId="0" applyFont="1"/>
    <xf numFmtId="44" fontId="5" fillId="0" borderId="0" xfId="2" applyFont="1"/>
    <xf numFmtId="44" fontId="5" fillId="0" borderId="1" xfId="2" applyFont="1" applyBorder="1"/>
    <xf numFmtId="0" fontId="5" fillId="0" borderId="0" xfId="0" applyFont="1" applyAlignment="1">
      <alignment horizontal="center"/>
    </xf>
    <xf numFmtId="10" fontId="5" fillId="0" borderId="0" xfId="3" applyNumberFormat="1" applyFont="1"/>
    <xf numFmtId="10" fontId="5" fillId="0" borderId="1" xfId="3" applyNumberFormat="1" applyFont="1" applyBorder="1"/>
    <xf numFmtId="0" fontId="2" fillId="0" borderId="0" xfId="0" applyFont="1" applyFill="1" applyBorder="1" applyAlignment="1">
      <alignment wrapText="1"/>
    </xf>
    <xf numFmtId="0" fontId="0" fillId="0" borderId="0" xfId="0" applyFill="1" applyBorder="1"/>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44" fontId="2" fillId="0" borderId="0" xfId="2" applyFont="1" applyFill="1" applyBorder="1"/>
    <xf numFmtId="10" fontId="3" fillId="0" borderId="0" xfId="3" applyNumberFormat="1" applyFont="1" applyFill="1" applyBorder="1"/>
    <xf numFmtId="0" fontId="2" fillId="0" borderId="0" xfId="0" applyFont="1" applyFill="1" applyBorder="1"/>
    <xf numFmtId="165" fontId="2" fillId="0" borderId="0" xfId="1" applyNumberFormat="1" applyFont="1" applyFill="1" applyBorder="1"/>
    <xf numFmtId="0" fontId="4" fillId="0" borderId="0" xfId="0" applyFont="1"/>
    <xf numFmtId="43" fontId="4" fillId="0" borderId="0" xfId="0" applyNumberFormat="1" applyFont="1"/>
    <xf numFmtId="44" fontId="2" fillId="2" borderId="2" xfId="1" applyNumberFormat="1" applyFont="1" applyFill="1" applyBorder="1"/>
    <xf numFmtId="44" fontId="6" fillId="0" borderId="2" xfId="2" applyFont="1" applyBorder="1"/>
    <xf numFmtId="10" fontId="6" fillId="0" borderId="2" xfId="3" applyNumberFormat="1" applyFont="1" applyBorder="1"/>
    <xf numFmtId="43" fontId="7" fillId="0" borderId="0" xfId="0" applyNumberFormat="1" applyFont="1"/>
    <xf numFmtId="44" fontId="3" fillId="2" borderId="2" xfId="2" applyFont="1" applyFill="1" applyBorder="1"/>
    <xf numFmtId="165" fontId="0" fillId="0" borderId="2" xfId="0" applyNumberFormat="1" applyBorder="1"/>
    <xf numFmtId="43" fontId="0" fillId="0" borderId="2" xfId="0" applyNumberFormat="1" applyBorder="1"/>
    <xf numFmtId="164" fontId="2" fillId="7" borderId="2" xfId="3" applyNumberFormat="1" applyFont="1" applyFill="1" applyBorder="1"/>
    <xf numFmtId="0" fontId="2" fillId="8" borderId="2" xfId="0" applyFont="1" applyFill="1" applyBorder="1" applyAlignment="1">
      <alignment vertical="center" wrapText="1"/>
    </xf>
    <xf numFmtId="10" fontId="3" fillId="0" borderId="2" xfId="1" applyNumberFormat="1" applyFont="1" applyBorder="1"/>
    <xf numFmtId="10" fontId="2" fillId="2" borderId="2" xfId="1" applyNumberFormat="1" applyFont="1" applyFill="1" applyBorder="1"/>
    <xf numFmtId="165" fontId="2" fillId="0" borderId="2" xfId="3" applyNumberFormat="1" applyFont="1" applyBorder="1"/>
    <xf numFmtId="165" fontId="2" fillId="2" borderId="2" xfId="3" applyNumberFormat="1" applyFont="1" applyFill="1" applyBorder="1"/>
    <xf numFmtId="0" fontId="2" fillId="9" borderId="2" xfId="0" applyFont="1" applyFill="1" applyBorder="1" applyAlignment="1">
      <alignment vertical="center" wrapText="1"/>
    </xf>
    <xf numFmtId="10" fontId="2" fillId="9" borderId="2" xfId="3" applyNumberFormat="1" applyFont="1" applyFill="1" applyBorder="1"/>
    <xf numFmtId="10" fontId="3" fillId="9" borderId="2" xfId="1" applyNumberFormat="1" applyFont="1" applyFill="1" applyBorder="1"/>
    <xf numFmtId="0" fontId="2" fillId="0" borderId="2" xfId="0" applyFont="1" applyFill="1" applyBorder="1" applyAlignment="1">
      <alignment vertical="center" wrapText="1"/>
    </xf>
    <xf numFmtId="44" fontId="0" fillId="0" borderId="0" xfId="0" applyNumberFormat="1"/>
    <xf numFmtId="165" fontId="0" fillId="0" borderId="0" xfId="0" applyNumberFormat="1"/>
    <xf numFmtId="166" fontId="0" fillId="0" borderId="0" xfId="3" applyNumberFormat="1" applyFont="1"/>
    <xf numFmtId="10" fontId="2" fillId="9" borderId="2" xfId="1" applyNumberFormat="1" applyFont="1" applyFill="1" applyBorder="1" applyAlignment="1">
      <alignment wrapText="1"/>
    </xf>
    <xf numFmtId="0" fontId="0" fillId="0" borderId="2" xfId="0" quotePrefix="1" applyBorder="1"/>
    <xf numFmtId="44" fontId="0" fillId="0" borderId="2" xfId="0" applyNumberFormat="1" applyBorder="1"/>
    <xf numFmtId="10" fontId="2" fillId="3" borderId="2" xfId="1" applyNumberFormat="1" applyFont="1" applyFill="1" applyBorder="1"/>
    <xf numFmtId="44" fontId="0" fillId="0" borderId="6" xfId="0" applyNumberFormat="1" applyBorder="1"/>
    <xf numFmtId="0" fontId="2" fillId="10" borderId="4" xfId="0" applyFont="1" applyFill="1" applyBorder="1" applyAlignment="1">
      <alignment vertical="center" wrapText="1"/>
    </xf>
    <xf numFmtId="0" fontId="2" fillId="0" borderId="0" xfId="0" applyFont="1" applyAlignment="1">
      <alignment horizontal="center" wrapText="1"/>
    </xf>
    <xf numFmtId="0" fontId="2" fillId="0" borderId="0" xfId="0" applyFont="1" applyAlignment="1">
      <alignment horizontal="center" vertical="center" wrapText="1"/>
    </xf>
    <xf numFmtId="44" fontId="2" fillId="0" borderId="2" xfId="1" applyNumberFormat="1" applyFont="1" applyBorder="1"/>
    <xf numFmtId="44" fontId="3" fillId="0" borderId="2" xfId="1" applyNumberFormat="1" applyFont="1" applyBorder="1"/>
    <xf numFmtId="10" fontId="0" fillId="0" borderId="0" xfId="3" quotePrefix="1" applyNumberFormat="1" applyFont="1"/>
    <xf numFmtId="0" fontId="0" fillId="0" borderId="0" xfId="0" applyBorder="1"/>
    <xf numFmtId="0" fontId="5" fillId="0" borderId="0" xfId="0" applyFont="1" applyBorder="1"/>
    <xf numFmtId="0" fontId="5" fillId="0" borderId="0" xfId="0" applyFont="1" applyBorder="1" applyAlignment="1">
      <alignment horizontal="center"/>
    </xf>
    <xf numFmtId="0" fontId="2" fillId="0" borderId="0" xfId="0" applyFont="1" applyBorder="1"/>
    <xf numFmtId="44" fontId="5" fillId="0" borderId="0" xfId="2" applyFont="1" applyBorder="1"/>
    <xf numFmtId="10" fontId="5" fillId="0" borderId="0" xfId="3" applyNumberFormat="1" applyFont="1" applyBorder="1"/>
    <xf numFmtId="44" fontId="2" fillId="0" borderId="0" xfId="0" applyNumberFormat="1" applyFont="1" applyBorder="1"/>
    <xf numFmtId="10" fontId="0" fillId="0" borderId="2" xfId="0" applyNumberFormat="1" applyBorder="1"/>
    <xf numFmtId="0" fontId="2" fillId="0" borderId="10" xfId="0" applyFont="1" applyBorder="1" applyAlignment="1">
      <alignment horizontal="center" vertical="center"/>
    </xf>
    <xf numFmtId="0" fontId="2" fillId="0" borderId="10" xfId="0" applyFont="1" applyBorder="1"/>
    <xf numFmtId="10" fontId="7" fillId="0" borderId="2" xfId="0" applyNumberFormat="1" applyFont="1" applyBorder="1"/>
    <xf numFmtId="0" fontId="2" fillId="0" borderId="0" xfId="0" applyFont="1" applyBorder="1" applyAlignment="1">
      <alignment horizontal="center" vertical="center"/>
    </xf>
    <xf numFmtId="10" fontId="0" fillId="0" borderId="0" xfId="0" applyNumberFormat="1" applyBorder="1"/>
    <xf numFmtId="0" fontId="2" fillId="11" borderId="2" xfId="0" applyFont="1" applyFill="1" applyBorder="1" applyAlignment="1">
      <alignment horizontal="center"/>
    </xf>
    <xf numFmtId="0" fontId="0" fillId="0" borderId="2" xfId="0" applyBorder="1" applyAlignment="1">
      <alignment vertical="center"/>
    </xf>
    <xf numFmtId="0" fontId="0" fillId="0" borderId="2" xfId="0" applyBorder="1" applyAlignment="1">
      <alignment vertical="center" wrapText="1"/>
    </xf>
    <xf numFmtId="0" fontId="2" fillId="11" borderId="2" xfId="0" applyFont="1" applyFill="1" applyBorder="1" applyAlignment="1">
      <alignment horizontal="center" vertical="center"/>
    </xf>
    <xf numFmtId="0" fontId="0" fillId="0" borderId="2" xfId="0" applyBorder="1" applyAlignment="1">
      <alignment horizontal="center" vertical="center"/>
    </xf>
    <xf numFmtId="14" fontId="0" fillId="0" borderId="2" xfId="0" applyNumberFormat="1" applyBorder="1" applyAlignment="1">
      <alignment vertical="center"/>
    </xf>
    <xf numFmtId="0" fontId="0" fillId="7" borderId="2" xfId="0" applyFill="1" applyBorder="1" applyAlignment="1">
      <alignment vertical="top" wrapText="1"/>
    </xf>
    <xf numFmtId="0" fontId="8" fillId="0" borderId="0" xfId="0" applyFont="1"/>
    <xf numFmtId="14" fontId="8" fillId="0" borderId="0" xfId="0" applyNumberFormat="1" applyFont="1" applyAlignment="1">
      <alignment horizontal="center"/>
    </xf>
    <xf numFmtId="0" fontId="8" fillId="0" borderId="0" xfId="0" applyFont="1" applyAlignment="1">
      <alignment horizontal="center"/>
    </xf>
    <xf numFmtId="0" fontId="2" fillId="3" borderId="0" xfId="0" applyFont="1" applyFill="1"/>
    <xf numFmtId="10" fontId="0" fillId="0" borderId="7" xfId="3" applyNumberFormat="1" applyFont="1" applyBorder="1" applyAlignment="1">
      <alignment horizontal="center"/>
    </xf>
    <xf numFmtId="10" fontId="0" fillId="0" borderId="8" xfId="3" applyNumberFormat="1" applyFont="1" applyBorder="1" applyAlignment="1">
      <alignment horizontal="center"/>
    </xf>
    <xf numFmtId="10" fontId="0" fillId="0" borderId="9" xfId="3" applyNumberFormat="1" applyFont="1" applyBorder="1" applyAlignment="1">
      <alignment horizontal="center"/>
    </xf>
    <xf numFmtId="0" fontId="2" fillId="3" borderId="2" xfId="0" applyFont="1" applyFill="1" applyBorder="1" applyAlignment="1">
      <alignment horizontal="center" wrapText="1"/>
    </xf>
    <xf numFmtId="0" fontId="2" fillId="10" borderId="2" xfId="0" applyFont="1" applyFill="1" applyBorder="1" applyAlignment="1">
      <alignment horizontal="center" vertical="center" wrapText="1"/>
    </xf>
    <xf numFmtId="0" fontId="2" fillId="4" borderId="2" xfId="0" applyFont="1" applyFill="1" applyBorder="1" applyAlignment="1">
      <alignment horizontal="center" wrapText="1"/>
    </xf>
    <xf numFmtId="0" fontId="2" fillId="10" borderId="3"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4" borderId="7" xfId="0" applyFont="1" applyFill="1" applyBorder="1" applyAlignment="1">
      <alignment horizontal="center"/>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2" fillId="0" borderId="0" xfId="0" applyFont="1" applyBorder="1" applyAlignment="1">
      <alignment horizontal="center"/>
    </xf>
    <xf numFmtId="0" fontId="2" fillId="4" borderId="3" xfId="0" applyFont="1" applyFill="1" applyBorder="1" applyAlignment="1">
      <alignment horizontal="center" wrapText="1"/>
    </xf>
    <xf numFmtId="0" fontId="2" fillId="4" borderId="4"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2" fillId="5" borderId="2" xfId="0" applyFont="1" applyFill="1" applyBorder="1" applyAlignment="1">
      <alignment horizontal="center" wrapText="1"/>
    </xf>
    <xf numFmtId="0" fontId="2" fillId="6" borderId="2" xfId="0" applyFont="1" applyFill="1" applyBorder="1" applyAlignment="1">
      <alignment horizontal="center" wrapText="1"/>
    </xf>
    <xf numFmtId="0" fontId="0" fillId="0" borderId="2" xfId="0" applyBorder="1" applyAlignment="1">
      <alignment horizontal="center" vertical="center" wrapText="1"/>
    </xf>
    <xf numFmtId="0" fontId="0" fillId="3" borderId="2" xfId="0" applyFill="1" applyBorder="1" applyAlignment="1">
      <alignment vertical="top"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pplyAlignment="1">
      <alignment vertical="top"/>
    </xf>
  </cellXfs>
  <cellStyles count="4">
    <cellStyle name="Millares" xfId="1" builtinId="3"/>
    <cellStyle name="Moneda" xfId="2" builtinId="4"/>
    <cellStyle name="Normal" xfId="0" builtinId="0"/>
    <cellStyle name="Porcentaje" xfId="3" builtinId="5"/>
  </cellStyles>
  <dxfs count="0"/>
  <tableStyles count="1" defaultTableStyle="TableStyleMedium2" defaultPivotStyle="PivotStyleLight16">
    <tableStyle name="Invisible" pivot="0" table="0" count="0" xr9:uid="{77BB0B54-C6D2-4A2E-8F5A-CFC73045A7BB}"/>
  </tableStyles>
  <colors>
    <mruColors>
      <color rgb="FFFBD5DA"/>
      <color rgb="FF00FF99"/>
      <color rgb="FFF593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 dir="row">_xlchart.v1.0</cx:f>
      </cx:strDim>
      <cx:numDim type="val">
        <cx:f dir="row">_xlchart.v1.1</cx:f>
      </cx:numDim>
    </cx:data>
  </cx:chartData>
  <cx:chart>
    <cx:title pos="t" align="ctr" overlay="0">
      <cx:tx>
        <cx:txData>
          <cx:v>Análisis del Crecimiento Mensual</cx:v>
        </cx:txData>
      </cx:tx>
      <cx:txPr>
        <a:bodyPr spcFirstLastPara="1" vertOverflow="ellipsis" horzOverflow="overflow" wrap="square" lIns="0" tIns="0" rIns="0" bIns="0" anchor="ctr" anchorCtr="1"/>
        <a:lstStyle/>
        <a:p>
          <a:pPr algn="ctr" rtl="0">
            <a:defRPr sz="1800" b="1"/>
          </a:pPr>
          <a:r>
            <a:rPr lang="es-ES" sz="1800" b="1" i="0" u="none" strike="noStrike" baseline="0">
              <a:solidFill>
                <a:sysClr val="windowText" lastClr="000000">
                  <a:lumMod val="65000"/>
                  <a:lumOff val="35000"/>
                </a:sysClr>
              </a:solidFill>
              <a:latin typeface="Calibri" panose="020F0502020204030204"/>
            </a:rPr>
            <a:t>Análisis del Crecimiento Mensual</a:t>
          </a:r>
        </a:p>
      </cx:txPr>
    </cx:title>
    <cx:plotArea>
      <cx:plotAreaRegion>
        <cx:series layoutId="waterfall" uniqueId="{A04D2A72-DCE6-453A-8463-4DC86B9ACA53}">
          <cx:dataLabels pos="outEnd">
            <cx:txPr>
              <a:bodyPr vertOverflow="overflow" horzOverflow="overflow" wrap="square" lIns="0" tIns="0" rIns="0" bIns="0"/>
              <a:lstStyle/>
              <a:p>
                <a:pPr algn="ctr" rtl="0">
                  <a:defRPr sz="1200" b="1" i="0">
                    <a:solidFill>
                      <a:srgbClr val="595959"/>
                    </a:solidFill>
                    <a:latin typeface="Calibri" panose="020F0502020204030204" pitchFamily="34" charset="0"/>
                    <a:ea typeface="Calibri" panose="020F0502020204030204" pitchFamily="34" charset="0"/>
                    <a:cs typeface="Calibri" panose="020F0502020204030204" pitchFamily="34" charset="0"/>
                  </a:defRPr>
                </a:pPr>
                <a:endParaRPr lang="es-US" sz="1200" b="1"/>
              </a:p>
            </cx:txPr>
            <cx:visibility seriesName="0" categoryName="0" value="1"/>
          </cx:dataLabels>
          <cx:dataId val="0"/>
          <cx:layoutPr>
            <cx:subtotals>
              <cx:idx val="0"/>
              <cx:idx val="2"/>
            </cx:subtotals>
          </cx:layoutPr>
        </cx:series>
      </cx:plotAreaRegion>
      <cx:axis id="0">
        <cx:catScaling gapWidth="0.5"/>
        <cx:tickLabels/>
        <cx:txPr>
          <a:bodyPr vertOverflow="overflow" horzOverflow="overflow" wrap="square" lIns="0" tIns="0" rIns="0" bIns="0"/>
          <a:lstStyle/>
          <a:p>
            <a:pPr algn="ctr" rtl="0">
              <a:defRPr sz="1400" b="1" i="0">
                <a:solidFill>
                  <a:srgbClr val="595959"/>
                </a:solidFill>
                <a:latin typeface="Calibri" panose="020F0502020204030204" pitchFamily="34" charset="0"/>
                <a:ea typeface="Calibri" panose="020F0502020204030204" pitchFamily="34" charset="0"/>
                <a:cs typeface="Calibri" panose="020F0502020204030204" pitchFamily="34" charset="0"/>
              </a:defRPr>
            </a:pPr>
            <a:endParaRPr lang="es-US" sz="1400" b="1"/>
          </a:p>
        </cx:txPr>
      </cx:axis>
      <cx:axis id="1">
        <cx:valScaling/>
        <cx:majorGridlines/>
        <cx:tickLabels/>
        <cx:txPr>
          <a:bodyPr vertOverflow="overflow" horzOverflow="overflow" wrap="square" lIns="0" tIns="0" rIns="0" bIns="0"/>
          <a:lstStyle/>
          <a:p>
            <a:pPr algn="ctr" rtl="0">
              <a:defRPr sz="900" b="1" i="0">
                <a:solidFill>
                  <a:srgbClr val="595959"/>
                </a:solidFill>
                <a:latin typeface="Calibri" panose="020F0502020204030204" pitchFamily="34" charset="0"/>
                <a:ea typeface="Calibri" panose="020F0502020204030204" pitchFamily="34" charset="0"/>
                <a:cs typeface="Calibri" panose="020F0502020204030204" pitchFamily="34" charset="0"/>
              </a:defRPr>
            </a:pPr>
            <a:endParaRPr lang="es-US" b="1"/>
          </a:p>
        </cx:txPr>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 dir="row">_xlchart.v1.2</cx:f>
      </cx:strDim>
      <cx:numDim type="val">
        <cx:f dir="row">_xlchart.v1.3</cx:f>
      </cx:numDim>
    </cx:data>
  </cx:chartData>
  <cx:chart>
    <cx:title pos="t" align="ctr" overlay="0">
      <cx:tx>
        <cx:txData>
          <cx:v>Análisis del Logro del Presupuesto Mensual en $</cx:v>
        </cx:txData>
      </cx:tx>
      <cx:txPr>
        <a:bodyPr spcFirstLastPara="1" vertOverflow="ellipsis" horzOverflow="overflow" wrap="square" lIns="0" tIns="0" rIns="0" bIns="0" anchor="ctr" anchorCtr="1"/>
        <a:lstStyle/>
        <a:p>
          <a:pPr algn="ctr" rtl="0">
            <a:defRPr sz="1800" b="1"/>
          </a:pPr>
          <a:r>
            <a:rPr lang="es-ES" sz="1100" b="1" i="0" u="none" strike="noStrike" baseline="0">
              <a:solidFill>
                <a:sysClr val="windowText" lastClr="000000">
                  <a:lumMod val="65000"/>
                  <a:lumOff val="35000"/>
                </a:sysClr>
              </a:solidFill>
              <a:latin typeface="Calibri" panose="020F0502020204030204"/>
            </a:rPr>
            <a:t>Análisis del Logro del Presupuesto Mensual en $</a:t>
          </a:r>
        </a:p>
      </cx:txPr>
    </cx:title>
    <cx:plotArea>
      <cx:plotAreaRegion>
        <cx:series layoutId="waterfall" uniqueId="{A04D2A72-DCE6-453A-8463-4DC86B9ACA53}">
          <cx:dataLabels pos="outEnd">
            <cx:txPr>
              <a:bodyPr vertOverflow="overflow" horzOverflow="overflow" wrap="square" lIns="0" tIns="0" rIns="0" bIns="0"/>
              <a:lstStyle/>
              <a:p>
                <a:pPr algn="ctr" rtl="0">
                  <a:defRPr sz="1200" b="1" i="0">
                    <a:solidFill>
                      <a:srgbClr val="595959"/>
                    </a:solidFill>
                    <a:latin typeface="Calibri" panose="020F0502020204030204" pitchFamily="34" charset="0"/>
                    <a:ea typeface="Calibri" panose="020F0502020204030204" pitchFamily="34" charset="0"/>
                    <a:cs typeface="Calibri" panose="020F0502020204030204" pitchFamily="34" charset="0"/>
                  </a:defRPr>
                </a:pPr>
                <a:endParaRPr lang="es-US" sz="1200" b="1"/>
              </a:p>
            </cx:txPr>
            <cx:visibility seriesName="0" categoryName="0" value="1"/>
          </cx:dataLabels>
          <cx:dataId val="0"/>
          <cx:layoutPr>
            <cx:subtotals>
              <cx:idx val="0"/>
              <cx:idx val="2"/>
            </cx:subtotals>
          </cx:layoutPr>
        </cx:series>
      </cx:plotAreaRegion>
      <cx:axis id="0">
        <cx:catScaling gapWidth="0.5"/>
        <cx:tickLabels/>
        <cx:txPr>
          <a:bodyPr vertOverflow="overflow" horzOverflow="overflow" wrap="square" lIns="0" tIns="0" rIns="0" bIns="0"/>
          <a:lstStyle/>
          <a:p>
            <a:pPr algn="ctr" rtl="0">
              <a:defRPr sz="1100" b="1" i="0">
                <a:solidFill>
                  <a:srgbClr val="595959"/>
                </a:solidFill>
                <a:latin typeface="Calibri" panose="020F0502020204030204" pitchFamily="34" charset="0"/>
                <a:ea typeface="Calibri" panose="020F0502020204030204" pitchFamily="34" charset="0"/>
                <a:cs typeface="Calibri" panose="020F0502020204030204" pitchFamily="34" charset="0"/>
              </a:defRPr>
            </a:pPr>
            <a:endParaRPr lang="es-US" sz="1100" b="1"/>
          </a:p>
        </cx:txPr>
      </cx:axis>
      <cx:axis id="1">
        <cx:valScaling/>
        <cx:majorGridlines/>
        <cx:tickLabels/>
        <cx:txPr>
          <a:bodyPr vertOverflow="overflow" horzOverflow="overflow" wrap="square" lIns="0" tIns="0" rIns="0" bIns="0"/>
          <a:lstStyle/>
          <a:p>
            <a:pPr algn="ctr" rtl="0">
              <a:defRPr sz="900" b="1" i="0">
                <a:solidFill>
                  <a:srgbClr val="595959"/>
                </a:solidFill>
                <a:latin typeface="Calibri" panose="020F0502020204030204" pitchFamily="34" charset="0"/>
                <a:ea typeface="Calibri" panose="020F0502020204030204" pitchFamily="34" charset="0"/>
                <a:cs typeface="Calibri" panose="020F0502020204030204" pitchFamily="34" charset="0"/>
              </a:defRPr>
            </a:pPr>
            <a:endParaRPr lang="es-US" b="1"/>
          </a:p>
        </cx:txPr>
      </cx:axis>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 dir="row">_xlchart.v1.5</cx:f>
      </cx:strDim>
      <cx:numDim type="val">
        <cx:f dir="row">_xlchart.v1.4</cx:f>
      </cx:numDim>
    </cx:data>
  </cx:chartData>
  <cx:chart>
    <cx:title pos="t" align="ctr" overlay="0">
      <cx:tx>
        <cx:txData>
          <cx:v>Análisis del Logro del Presupuesto Mensual en %</cx:v>
        </cx:txData>
      </cx:tx>
      <cx:txPr>
        <a:bodyPr spcFirstLastPara="1" vertOverflow="ellipsis" horzOverflow="overflow" wrap="square" lIns="0" tIns="0" rIns="0" bIns="0" anchor="ctr" anchorCtr="1"/>
        <a:lstStyle/>
        <a:p>
          <a:pPr algn="ctr" rtl="0">
            <a:defRPr sz="1800" b="1"/>
          </a:pPr>
          <a:r>
            <a:rPr lang="es-ES" sz="1100" b="1" i="0" u="none" strike="noStrike" baseline="0">
              <a:solidFill>
                <a:sysClr val="windowText" lastClr="000000">
                  <a:lumMod val="65000"/>
                  <a:lumOff val="35000"/>
                </a:sysClr>
              </a:solidFill>
              <a:latin typeface="Calibri" panose="020F0502020204030204"/>
            </a:rPr>
            <a:t>Análisis del Logro del Presupuesto Mensual en %</a:t>
          </a:r>
        </a:p>
      </cx:txPr>
    </cx:title>
    <cx:plotArea>
      <cx:plotAreaRegion>
        <cx:series layoutId="waterfall" uniqueId="{14F463D6-BFD9-4734-9B2A-A68A9E80175B}">
          <cx:dataPt idx="0">
            <cx:spPr>
              <a:solidFill>
                <a:sysClr val="window" lastClr="FFFFFF">
                  <a:lumMod val="65000"/>
                </a:sysClr>
              </a:solidFill>
            </cx:spPr>
          </cx:dataPt>
          <cx:dataPt idx="2">
            <cx:spPr>
              <a:solidFill>
                <a:sysClr val="window" lastClr="FFFFFF">
                  <a:lumMod val="65000"/>
                </a:sysClr>
              </a:solidFill>
            </cx:spPr>
          </cx:dataPt>
          <cx:dataLabels>
            <cx:txPr>
              <a:bodyPr spcFirstLastPara="1" vertOverflow="ellipsis" horzOverflow="overflow" wrap="square" lIns="0" tIns="0" rIns="0" bIns="0" anchor="ctr" anchorCtr="1"/>
              <a:lstStyle/>
              <a:p>
                <a:pPr algn="ctr" rtl="0">
                  <a:defRPr sz="1050" b="1"/>
                </a:pPr>
                <a:endParaRPr lang="es-ES" sz="1050" b="1" i="0" u="none" strike="noStrike" baseline="0">
                  <a:solidFill>
                    <a:sysClr val="windowText" lastClr="000000">
                      <a:lumMod val="65000"/>
                      <a:lumOff val="35000"/>
                    </a:sysClr>
                  </a:solidFill>
                  <a:latin typeface="Calibri" panose="020F0502020204030204"/>
                </a:endParaRPr>
              </a:p>
            </cx:txPr>
          </cx:dataLabels>
          <cx:dataId val="0"/>
          <cx:layoutPr>
            <cx:subtotals>
              <cx:idx val="0"/>
              <cx:idx val="2"/>
            </cx:subtotals>
          </cx:layoutPr>
        </cx:series>
      </cx:plotAreaRegion>
      <cx:axis id="0">
        <cx:catScaling gapWidth="0.5"/>
        <cx:tickLabels/>
        <cx:txPr>
          <a:bodyPr vertOverflow="overflow" horzOverflow="overflow" wrap="square" lIns="0" tIns="0" rIns="0" bIns="0"/>
          <a:lstStyle/>
          <a:p>
            <a:pPr algn="ctr" rtl="0">
              <a:defRPr sz="1100" b="1" i="0">
                <a:solidFill>
                  <a:srgbClr val="595959"/>
                </a:solidFill>
                <a:latin typeface="Calibri" panose="020F0502020204030204" pitchFamily="34" charset="0"/>
                <a:ea typeface="Calibri" panose="020F0502020204030204" pitchFamily="34" charset="0"/>
                <a:cs typeface="Calibri" panose="020F0502020204030204" pitchFamily="34" charset="0"/>
              </a:defRPr>
            </a:pPr>
            <a:endParaRPr lang="es-US" sz="1100" b="1"/>
          </a:p>
        </cx:txPr>
      </cx:axis>
      <cx:axis id="1">
        <cx:valScaling/>
        <cx:majorGridlines/>
        <cx:tickLabels/>
        <cx:txPr>
          <a:bodyPr vertOverflow="overflow" horzOverflow="overflow" wrap="square" lIns="0" tIns="0" rIns="0" bIns="0"/>
          <a:lstStyle/>
          <a:p>
            <a:pPr algn="ctr" rtl="0">
              <a:defRPr sz="900" b="1" i="0">
                <a:solidFill>
                  <a:srgbClr val="595959"/>
                </a:solidFill>
                <a:latin typeface="Calibri" panose="020F0502020204030204" pitchFamily="34" charset="0"/>
                <a:ea typeface="Calibri" panose="020F0502020204030204" pitchFamily="34" charset="0"/>
                <a:cs typeface="Calibri" panose="020F0502020204030204" pitchFamily="34" charset="0"/>
              </a:defRPr>
            </a:pPr>
            <a:endParaRPr lang="es-US" b="1"/>
          </a:p>
        </cx:txPr>
      </cx:axis>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 dir="row">_xlchart.v1.6</cx:f>
      </cx:strDim>
      <cx:numDim type="val">
        <cx:f dir="row">_xlchart.v1.7</cx:f>
      </cx:numDim>
    </cx:data>
  </cx:chartData>
  <cx:chart>
    <cx:title pos="t" align="ctr" overlay="0">
      <cx:tx>
        <cx:txData>
          <cx:v>Análisis del Logro del Presupuesto Mensual en $</cx:v>
        </cx:txData>
      </cx:tx>
      <cx:txPr>
        <a:bodyPr spcFirstLastPara="1" vertOverflow="ellipsis" horzOverflow="overflow" wrap="square" lIns="0" tIns="0" rIns="0" bIns="0" anchor="ctr" anchorCtr="1"/>
        <a:lstStyle/>
        <a:p>
          <a:pPr algn="ctr" rtl="0">
            <a:defRPr sz="1800" b="1"/>
          </a:pPr>
          <a:r>
            <a:rPr lang="es-ES" sz="1100" b="1" i="0" u="none" strike="noStrike" baseline="0">
              <a:solidFill>
                <a:sysClr val="windowText" lastClr="000000">
                  <a:lumMod val="65000"/>
                  <a:lumOff val="35000"/>
                </a:sysClr>
              </a:solidFill>
              <a:latin typeface="Calibri" panose="020F0502020204030204"/>
            </a:rPr>
            <a:t>Análisis del Logro del Presupuesto Mensual en $</a:t>
          </a:r>
        </a:p>
      </cx:txPr>
    </cx:title>
    <cx:plotArea>
      <cx:plotAreaRegion>
        <cx:series layoutId="waterfall" uniqueId="{A04D2A72-DCE6-453A-8463-4DC86B9ACA53}">
          <cx:dataLabels pos="outEnd">
            <cx:txPr>
              <a:bodyPr vertOverflow="overflow" horzOverflow="overflow" wrap="square" lIns="0" tIns="0" rIns="0" bIns="0"/>
              <a:lstStyle/>
              <a:p>
                <a:pPr algn="ctr" rtl="0">
                  <a:defRPr sz="1200" b="1" i="0">
                    <a:solidFill>
                      <a:srgbClr val="595959"/>
                    </a:solidFill>
                    <a:latin typeface="Calibri" panose="020F0502020204030204" pitchFamily="34" charset="0"/>
                    <a:ea typeface="Calibri" panose="020F0502020204030204" pitchFamily="34" charset="0"/>
                    <a:cs typeface="Calibri" panose="020F0502020204030204" pitchFamily="34" charset="0"/>
                  </a:defRPr>
                </a:pPr>
                <a:endParaRPr lang="es-US" sz="1200" b="1"/>
              </a:p>
            </cx:txPr>
            <cx:visibility seriesName="0" categoryName="0" value="1"/>
          </cx:dataLabels>
          <cx:dataId val="0"/>
          <cx:layoutPr>
            <cx:subtotals>
              <cx:idx val="0"/>
              <cx:idx val="2"/>
            </cx:subtotals>
          </cx:layoutPr>
        </cx:series>
      </cx:plotAreaRegion>
      <cx:axis id="0">
        <cx:catScaling gapWidth="0.5"/>
        <cx:tickLabels/>
        <cx:txPr>
          <a:bodyPr vertOverflow="overflow" horzOverflow="overflow" wrap="square" lIns="0" tIns="0" rIns="0" bIns="0"/>
          <a:lstStyle/>
          <a:p>
            <a:pPr algn="ctr" rtl="0">
              <a:defRPr sz="1100" b="1" i="0">
                <a:solidFill>
                  <a:srgbClr val="595959"/>
                </a:solidFill>
                <a:latin typeface="Calibri" panose="020F0502020204030204" pitchFamily="34" charset="0"/>
                <a:ea typeface="Calibri" panose="020F0502020204030204" pitchFamily="34" charset="0"/>
                <a:cs typeface="Calibri" panose="020F0502020204030204" pitchFamily="34" charset="0"/>
              </a:defRPr>
            </a:pPr>
            <a:endParaRPr lang="es-US" sz="1100" b="1"/>
          </a:p>
        </cx:txPr>
      </cx:axis>
      <cx:axis id="1">
        <cx:valScaling/>
        <cx:majorGridlines/>
        <cx:tickLabels/>
        <cx:txPr>
          <a:bodyPr vertOverflow="overflow" horzOverflow="overflow" wrap="square" lIns="0" tIns="0" rIns="0" bIns="0"/>
          <a:lstStyle/>
          <a:p>
            <a:pPr algn="ctr" rtl="0">
              <a:defRPr sz="900" b="1" i="0">
                <a:solidFill>
                  <a:srgbClr val="595959"/>
                </a:solidFill>
                <a:latin typeface="Calibri" panose="020F0502020204030204" pitchFamily="34" charset="0"/>
                <a:ea typeface="Calibri" panose="020F0502020204030204" pitchFamily="34" charset="0"/>
                <a:cs typeface="Calibri" panose="020F0502020204030204" pitchFamily="34" charset="0"/>
              </a:defRPr>
            </a:pPr>
            <a:endParaRPr lang="es-US" b="1"/>
          </a:p>
        </cx:txPr>
      </cx:axis>
    </cx:plotArea>
  </cx:chart>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 dir="row">_xlchart.v1.8</cx:f>
      </cx:strDim>
      <cx:numDim type="val">
        <cx:f dir="row">_xlchart.v1.9</cx:f>
      </cx:numDim>
    </cx:data>
  </cx:chartData>
  <cx:chart>
    <cx:title pos="t" align="ctr" overlay="0">
      <cx:tx>
        <cx:txData>
          <cx:v>Análisis del Logro del Presupuesto Mensual en %</cx:v>
        </cx:txData>
      </cx:tx>
      <cx:txPr>
        <a:bodyPr spcFirstLastPara="1" vertOverflow="ellipsis" horzOverflow="overflow" wrap="square" lIns="0" tIns="0" rIns="0" bIns="0" anchor="ctr" anchorCtr="1"/>
        <a:lstStyle/>
        <a:p>
          <a:pPr algn="ctr" rtl="0">
            <a:defRPr sz="1800" b="1"/>
          </a:pPr>
          <a:r>
            <a:rPr lang="es-ES" sz="1100" b="1" i="0" u="none" strike="noStrike" baseline="0">
              <a:solidFill>
                <a:sysClr val="windowText" lastClr="000000">
                  <a:lumMod val="65000"/>
                  <a:lumOff val="35000"/>
                </a:sysClr>
              </a:solidFill>
              <a:latin typeface="Calibri" panose="020F0502020204030204"/>
            </a:rPr>
            <a:t>Análisis del Logro del Presupuesto Mensual en %</a:t>
          </a:r>
        </a:p>
      </cx:txPr>
    </cx:title>
    <cx:plotArea>
      <cx:plotAreaRegion>
        <cx:series layoutId="waterfall" uniqueId="{14F463D6-BFD9-4734-9B2A-A68A9E80175B}">
          <cx:dataPt idx="0">
            <cx:spPr>
              <a:solidFill>
                <a:sysClr val="window" lastClr="FFFFFF">
                  <a:lumMod val="65000"/>
                </a:sysClr>
              </a:solidFill>
            </cx:spPr>
          </cx:dataPt>
          <cx:dataPt idx="2">
            <cx:spPr>
              <a:solidFill>
                <a:sysClr val="window" lastClr="FFFFFF">
                  <a:lumMod val="65000"/>
                </a:sysClr>
              </a:solidFill>
            </cx:spPr>
          </cx:dataPt>
          <cx:dataLabels>
            <cx:txPr>
              <a:bodyPr spcFirstLastPara="1" vertOverflow="ellipsis" horzOverflow="overflow" wrap="square" lIns="0" tIns="0" rIns="0" bIns="0" anchor="ctr" anchorCtr="1"/>
              <a:lstStyle/>
              <a:p>
                <a:pPr algn="ctr" rtl="0">
                  <a:defRPr sz="1050" b="1"/>
                </a:pPr>
                <a:endParaRPr lang="es-ES" sz="1050" b="1" i="0" u="none" strike="noStrike" baseline="0">
                  <a:solidFill>
                    <a:sysClr val="windowText" lastClr="000000">
                      <a:lumMod val="65000"/>
                      <a:lumOff val="35000"/>
                    </a:sysClr>
                  </a:solidFill>
                  <a:latin typeface="Calibri" panose="020F0502020204030204"/>
                </a:endParaRPr>
              </a:p>
            </cx:txPr>
          </cx:dataLabels>
          <cx:dataId val="0"/>
          <cx:layoutPr>
            <cx:subtotals>
              <cx:idx val="0"/>
              <cx:idx val="2"/>
            </cx:subtotals>
          </cx:layoutPr>
        </cx:series>
      </cx:plotAreaRegion>
      <cx:axis id="0">
        <cx:catScaling gapWidth="0.5"/>
        <cx:tickLabels/>
        <cx:txPr>
          <a:bodyPr vertOverflow="overflow" horzOverflow="overflow" wrap="square" lIns="0" tIns="0" rIns="0" bIns="0"/>
          <a:lstStyle/>
          <a:p>
            <a:pPr algn="ctr" rtl="0">
              <a:defRPr sz="1100" b="1" i="0">
                <a:solidFill>
                  <a:srgbClr val="595959"/>
                </a:solidFill>
                <a:latin typeface="Calibri" panose="020F0502020204030204" pitchFamily="34" charset="0"/>
                <a:ea typeface="Calibri" panose="020F0502020204030204" pitchFamily="34" charset="0"/>
                <a:cs typeface="Calibri" panose="020F0502020204030204" pitchFamily="34" charset="0"/>
              </a:defRPr>
            </a:pPr>
            <a:endParaRPr lang="es-US" sz="1100" b="1"/>
          </a:p>
        </cx:txPr>
      </cx:axis>
      <cx:axis id="1">
        <cx:valScaling/>
        <cx:majorGridlines/>
        <cx:tickLabels/>
        <cx:txPr>
          <a:bodyPr vertOverflow="overflow" horzOverflow="overflow" wrap="square" lIns="0" tIns="0" rIns="0" bIns="0"/>
          <a:lstStyle/>
          <a:p>
            <a:pPr algn="ctr" rtl="0">
              <a:defRPr sz="900" b="1" i="0">
                <a:solidFill>
                  <a:srgbClr val="595959"/>
                </a:solidFill>
                <a:latin typeface="Calibri" panose="020F0502020204030204" pitchFamily="34" charset="0"/>
                <a:ea typeface="Calibri" panose="020F0502020204030204" pitchFamily="34" charset="0"/>
                <a:cs typeface="Calibri" panose="020F0502020204030204" pitchFamily="34" charset="0"/>
              </a:defRPr>
            </a:pPr>
            <a:endParaRPr lang="es-US" b="1"/>
          </a:p>
        </cx:txPr>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_rels/drawing2.xml.rels><?xml version="1.0" encoding="UTF-8" standalone="yes"?>
<Relationships xmlns="http://schemas.openxmlformats.org/package/2006/relationships"><Relationship Id="rId2" Type="http://schemas.microsoft.com/office/2014/relationships/chartEx" Target="../charts/chartEx3.xml"/><Relationship Id="rId1" Type="http://schemas.microsoft.com/office/2014/relationships/chartEx" Target="../charts/chartEx2.xml"/></Relationships>
</file>

<file path=xl/drawings/_rels/drawing3.xml.rels><?xml version="1.0" encoding="UTF-8" standalone="yes"?>
<Relationships xmlns="http://schemas.openxmlformats.org/package/2006/relationships"><Relationship Id="rId2" Type="http://schemas.microsoft.com/office/2014/relationships/chartEx" Target="../charts/chartEx5.xml"/><Relationship Id="rId1" Type="http://schemas.microsoft.com/office/2014/relationships/chartEx" Target="../charts/chartEx4.xml"/></Relationships>
</file>

<file path=xl/drawings/drawing1.xml><?xml version="1.0" encoding="utf-8"?>
<xdr:wsDr xmlns:xdr="http://schemas.openxmlformats.org/drawingml/2006/spreadsheetDrawing" xmlns:a="http://schemas.openxmlformats.org/drawingml/2006/main">
  <xdr:twoCellAnchor>
    <xdr:from>
      <xdr:col>6</xdr:col>
      <xdr:colOff>457200</xdr:colOff>
      <xdr:row>0</xdr:row>
      <xdr:rowOff>70338</xdr:rowOff>
    </xdr:from>
    <xdr:to>
      <xdr:col>10</xdr:col>
      <xdr:colOff>426720</xdr:colOff>
      <xdr:row>13</xdr:row>
      <xdr:rowOff>126609</xdr:rowOff>
    </xdr:to>
    <mc:AlternateContent xmlns:mc="http://schemas.openxmlformats.org/markup-compatibility/2006">
      <mc:Choice xmlns:cx1="http://schemas.microsoft.com/office/drawing/2015/9/8/chartex" Requires="cx1">
        <xdr:graphicFrame macro="">
          <xdr:nvGraphicFramePr>
            <xdr:cNvPr id="2" name="Gráfico 1">
              <a:extLst>
                <a:ext uri="{FF2B5EF4-FFF2-40B4-BE49-F238E27FC236}">
                  <a16:creationId xmlns:a16="http://schemas.microsoft.com/office/drawing/2014/main" id="{D3BD7F88-B3FF-422C-9686-9C3BF52951C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5183945" y="70338"/>
              <a:ext cx="3120683" cy="2616591"/>
            </a:xfrm>
            <a:prstGeom prst="rect">
              <a:avLst/>
            </a:prstGeom>
            <a:solidFill>
              <a:prstClr val="white"/>
            </a:solidFill>
            <a:ln w="1">
              <a:solidFill>
                <a:prstClr val="green"/>
              </a:solidFill>
            </a:ln>
          </xdr:spPr>
          <xdr:txBody>
            <a:bodyPr vertOverflow="clip" horzOverflow="clip"/>
            <a:lstStyle/>
            <a:p>
              <a:r>
                <a:rPr lang="es-US"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16</xdr:col>
      <xdr:colOff>769620</xdr:colOff>
      <xdr:row>0</xdr:row>
      <xdr:rowOff>30480</xdr:rowOff>
    </xdr:from>
    <xdr:to>
      <xdr:col>21</xdr:col>
      <xdr:colOff>647700</xdr:colOff>
      <xdr:row>13</xdr:row>
      <xdr:rowOff>167640</xdr:rowOff>
    </xdr:to>
    <mc:AlternateContent xmlns:mc="http://schemas.openxmlformats.org/markup-compatibility/2006">
      <mc:Choice xmlns:cx1="http://schemas.microsoft.com/office/drawing/2015/9/8/chartex" Requires="cx1">
        <xdr:graphicFrame macro="">
          <xdr:nvGraphicFramePr>
            <xdr:cNvPr id="2" name="Gráfico 1">
              <a:extLst>
                <a:ext uri="{FF2B5EF4-FFF2-40B4-BE49-F238E27FC236}">
                  <a16:creationId xmlns:a16="http://schemas.microsoft.com/office/drawing/2014/main" id="{A3017116-F5DB-4EE8-BE35-532E3119531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6729417" y="30480"/>
              <a:ext cx="3817034" cy="2599006"/>
            </a:xfrm>
            <a:prstGeom prst="rect">
              <a:avLst/>
            </a:prstGeom>
            <a:solidFill>
              <a:prstClr val="white"/>
            </a:solidFill>
            <a:ln w="1">
              <a:solidFill>
                <a:prstClr val="green"/>
              </a:solidFill>
            </a:ln>
          </xdr:spPr>
          <xdr:txBody>
            <a:bodyPr vertOverflow="clip" horzOverflow="clip"/>
            <a:lstStyle/>
            <a:p>
              <a:r>
                <a:rPr lang="es-U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17</xdr:col>
      <xdr:colOff>609600</xdr:colOff>
      <xdr:row>14</xdr:row>
      <xdr:rowOff>160020</xdr:rowOff>
    </xdr:from>
    <xdr:to>
      <xdr:col>22</xdr:col>
      <xdr:colOff>487680</xdr:colOff>
      <xdr:row>22</xdr:row>
      <xdr:rowOff>396240</xdr:rowOff>
    </xdr:to>
    <mc:AlternateContent xmlns:mc="http://schemas.openxmlformats.org/markup-compatibility/2006">
      <mc:Choice xmlns:cx1="http://schemas.microsoft.com/office/drawing/2015/9/8/chartex" Requires="cx1">
        <xdr:graphicFrame macro="">
          <xdr:nvGraphicFramePr>
            <xdr:cNvPr id="3" name="Gráfico 2">
              <a:extLst>
                <a:ext uri="{FF2B5EF4-FFF2-40B4-BE49-F238E27FC236}">
                  <a16:creationId xmlns:a16="http://schemas.microsoft.com/office/drawing/2014/main" id="{D525138B-B1FE-4126-83EE-82A2C0ADA3C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7357188" y="2804746"/>
              <a:ext cx="3817034" cy="2880946"/>
            </a:xfrm>
            <a:prstGeom prst="rect">
              <a:avLst/>
            </a:prstGeom>
            <a:solidFill>
              <a:prstClr val="white"/>
            </a:solidFill>
            <a:ln w="1">
              <a:solidFill>
                <a:prstClr val="green"/>
              </a:solidFill>
            </a:ln>
          </xdr:spPr>
          <xdr:txBody>
            <a:bodyPr vertOverflow="clip" horzOverflow="clip"/>
            <a:lstStyle/>
            <a:p>
              <a:r>
                <a:rPr lang="es-US"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19</xdr:col>
      <xdr:colOff>410894</xdr:colOff>
      <xdr:row>0</xdr:row>
      <xdr:rowOff>114887</xdr:rowOff>
    </xdr:from>
    <xdr:to>
      <xdr:col>24</xdr:col>
      <xdr:colOff>288974</xdr:colOff>
      <xdr:row>14</xdr:row>
      <xdr:rowOff>69167</xdr:rowOff>
    </xdr:to>
    <mc:AlternateContent xmlns:mc="http://schemas.openxmlformats.org/markup-compatibility/2006">
      <mc:Choice xmlns:cx1="http://schemas.microsoft.com/office/drawing/2015/9/8/chartex" Requires="cx1">
        <xdr:graphicFrame macro="">
          <xdr:nvGraphicFramePr>
            <xdr:cNvPr id="2" name="Gráfico 1">
              <a:extLst>
                <a:ext uri="{FF2B5EF4-FFF2-40B4-BE49-F238E27FC236}">
                  <a16:creationId xmlns:a16="http://schemas.microsoft.com/office/drawing/2014/main" id="{A6D575B6-DF6F-43D5-B23A-5E6E108B9A8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9746937" y="114887"/>
              <a:ext cx="3817034" cy="2599006"/>
            </a:xfrm>
            <a:prstGeom prst="rect">
              <a:avLst/>
            </a:prstGeom>
            <a:solidFill>
              <a:prstClr val="white"/>
            </a:solidFill>
            <a:ln w="1">
              <a:solidFill>
                <a:prstClr val="green"/>
              </a:solidFill>
            </a:ln>
          </xdr:spPr>
          <xdr:txBody>
            <a:bodyPr vertOverflow="clip" horzOverflow="clip"/>
            <a:lstStyle/>
            <a:p>
              <a:r>
                <a:rPr lang="es-U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19</xdr:col>
      <xdr:colOff>398585</xdr:colOff>
      <xdr:row>14</xdr:row>
      <xdr:rowOff>174088</xdr:rowOff>
    </xdr:from>
    <xdr:to>
      <xdr:col>24</xdr:col>
      <xdr:colOff>276664</xdr:colOff>
      <xdr:row>22</xdr:row>
      <xdr:rowOff>410308</xdr:rowOff>
    </xdr:to>
    <mc:AlternateContent xmlns:mc="http://schemas.openxmlformats.org/markup-compatibility/2006">
      <mc:Choice xmlns:cx1="http://schemas.microsoft.com/office/drawing/2015/9/8/chartex" Requires="cx1">
        <xdr:graphicFrame macro="">
          <xdr:nvGraphicFramePr>
            <xdr:cNvPr id="3" name="Gráfico 2">
              <a:extLst>
                <a:ext uri="{FF2B5EF4-FFF2-40B4-BE49-F238E27FC236}">
                  <a16:creationId xmlns:a16="http://schemas.microsoft.com/office/drawing/2014/main" id="{95BA2B22-5021-4AA6-9F30-1D237029712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734628" y="2818814"/>
              <a:ext cx="3817033" cy="2880946"/>
            </a:xfrm>
            <a:prstGeom prst="rect">
              <a:avLst/>
            </a:prstGeom>
            <a:solidFill>
              <a:prstClr val="white"/>
            </a:solidFill>
            <a:ln w="1">
              <a:solidFill>
                <a:prstClr val="green"/>
              </a:solidFill>
            </a:ln>
          </xdr:spPr>
          <xdr:txBody>
            <a:bodyPr vertOverflow="clip" horzOverflow="clip"/>
            <a:lstStyle/>
            <a:p>
              <a:r>
                <a:rPr lang="es-US"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5DD73-C954-4D6A-96AC-DC5D9F02C71D}">
  <dimension ref="A4:F7"/>
  <sheetViews>
    <sheetView workbookViewId="0">
      <selection activeCell="C17" sqref="C17"/>
    </sheetView>
  </sheetViews>
  <sheetFormatPr baseColWidth="10" defaultRowHeight="14.4" x14ac:dyDescent="0.3"/>
  <sheetData>
    <row r="4" spans="1:6" ht="28.8" x14ac:dyDescent="0.3">
      <c r="A4" t="s">
        <v>4</v>
      </c>
      <c r="D4" s="94" t="s">
        <v>104</v>
      </c>
      <c r="E4" s="95" t="s">
        <v>3</v>
      </c>
      <c r="F4" s="94" t="s">
        <v>105</v>
      </c>
    </row>
    <row r="5" spans="1:6" x14ac:dyDescent="0.3">
      <c r="A5" t="s">
        <v>0</v>
      </c>
      <c r="B5" s="1">
        <v>1000</v>
      </c>
      <c r="D5" s="4">
        <f>+B5</f>
        <v>1000</v>
      </c>
      <c r="E5" s="4">
        <f>+B7</f>
        <v>275</v>
      </c>
      <c r="F5" s="4">
        <f>+B6</f>
        <v>1275</v>
      </c>
    </row>
    <row r="6" spans="1:6" x14ac:dyDescent="0.3">
      <c r="A6" t="s">
        <v>1</v>
      </c>
      <c r="B6" s="2">
        <v>1275</v>
      </c>
    </row>
    <row r="7" spans="1:6" x14ac:dyDescent="0.3">
      <c r="A7" t="s">
        <v>2</v>
      </c>
      <c r="B7" s="1">
        <f>B6-B5</f>
        <v>275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910E1-2A02-4174-BFBF-8DEE130A9FFD}">
  <dimension ref="A16:AH29"/>
  <sheetViews>
    <sheetView showGridLines="0" topLeftCell="A16" workbookViewId="0">
      <selection activeCell="A17" sqref="A17:A20"/>
    </sheetView>
  </sheetViews>
  <sheetFormatPr baseColWidth="10" defaultRowHeight="14.4" x14ac:dyDescent="0.3"/>
  <cols>
    <col min="1" max="1" width="23.69921875" bestFit="1" customWidth="1"/>
    <col min="6" max="6" width="13" bestFit="1" customWidth="1"/>
    <col min="8" max="8" width="20.8984375" bestFit="1" customWidth="1"/>
    <col min="10" max="10" width="12.296875" bestFit="1" customWidth="1"/>
    <col min="13" max="13" width="13.09765625" bestFit="1" customWidth="1"/>
    <col min="14" max="14" width="10.296875" customWidth="1"/>
    <col min="18" max="18" width="22.69921875" bestFit="1" customWidth="1"/>
    <col min="20" max="20" width="16.59765625" bestFit="1" customWidth="1"/>
    <col min="22" max="22" width="20.19921875" bestFit="1" customWidth="1"/>
    <col min="26" max="26" width="13" bestFit="1" customWidth="1"/>
  </cols>
  <sheetData>
    <row r="16" spans="1:13" ht="35.450000000000003" customHeight="1" x14ac:dyDescent="0.3">
      <c r="A16" s="128" t="s">
        <v>12</v>
      </c>
      <c r="B16" s="128"/>
      <c r="C16" s="128"/>
      <c r="D16" s="128"/>
      <c r="E16" s="128"/>
      <c r="F16" s="128"/>
      <c r="H16" s="126" t="s">
        <v>60</v>
      </c>
      <c r="I16" s="126"/>
      <c r="J16" s="126"/>
      <c r="K16" s="126"/>
      <c r="L16" s="126"/>
      <c r="M16" s="126"/>
    </row>
    <row r="17" spans="1:34" ht="28.8" x14ac:dyDescent="0.3">
      <c r="A17" s="5" t="s">
        <v>5</v>
      </c>
      <c r="B17" s="6" t="s">
        <v>8</v>
      </c>
      <c r="C17" s="6" t="s">
        <v>9</v>
      </c>
      <c r="D17" s="7" t="s">
        <v>2</v>
      </c>
      <c r="E17" s="7" t="s">
        <v>10</v>
      </c>
      <c r="F17" s="18" t="s">
        <v>14</v>
      </c>
      <c r="H17" s="23"/>
      <c r="I17" s="6" t="s">
        <v>8</v>
      </c>
      <c r="J17" s="6" t="s">
        <v>9</v>
      </c>
      <c r="K17" s="7" t="s">
        <v>2</v>
      </c>
      <c r="L17" s="76" t="s">
        <v>10</v>
      </c>
      <c r="M17" s="18" t="s">
        <v>14</v>
      </c>
    </row>
    <row r="18" spans="1:34" x14ac:dyDescent="0.3">
      <c r="A18" s="10" t="s">
        <v>6</v>
      </c>
      <c r="B18" s="11">
        <v>25285.75</v>
      </c>
      <c r="C18" s="11">
        <v>28519.54</v>
      </c>
      <c r="D18" s="11">
        <f>C18-B18</f>
        <v>3233.7900000000009</v>
      </c>
      <c r="E18" s="12">
        <f>D18/B18</f>
        <v>0.12788981936466196</v>
      </c>
      <c r="F18" s="10"/>
      <c r="G18" s="36"/>
      <c r="H18" s="10" t="s">
        <v>6</v>
      </c>
      <c r="I18" s="11">
        <f>+B18/B25</f>
        <v>12.744833669354838</v>
      </c>
      <c r="J18" s="11">
        <f>+C18/C25</f>
        <v>13.744356626506024</v>
      </c>
      <c r="K18" s="11">
        <f>J18-I18</f>
        <v>0.99952295715118566</v>
      </c>
      <c r="L18" s="12">
        <f>K18/I18</f>
        <v>7.8425735720235798E-2</v>
      </c>
      <c r="M18" s="10"/>
    </row>
    <row r="19" spans="1:34" x14ac:dyDescent="0.3">
      <c r="A19" s="10" t="s">
        <v>7</v>
      </c>
      <c r="B19" s="11">
        <v>12873.44</v>
      </c>
      <c r="C19" s="11">
        <v>11271.98</v>
      </c>
      <c r="D19" s="19">
        <f t="shared" ref="D19:D20" si="0">C19-B19</f>
        <v>-1601.4600000000009</v>
      </c>
      <c r="E19" s="15">
        <f t="shared" ref="E19:E20" si="1">D19/B19</f>
        <v>-0.12440031568873594</v>
      </c>
      <c r="F19" s="10"/>
      <c r="G19" s="98"/>
      <c r="H19" s="10" t="s">
        <v>7</v>
      </c>
      <c r="I19" s="11">
        <f>+B19/B26</f>
        <v>9.5429503335804302</v>
      </c>
      <c r="J19" s="11">
        <f>+C19/C26</f>
        <v>8.5007390648567114</v>
      </c>
      <c r="K19" s="19">
        <f t="shared" ref="K19:K20" si="2">J19-I19</f>
        <v>-1.0422112687237188</v>
      </c>
      <c r="L19" s="15">
        <f t="shared" ref="L19:L20" si="3">K19/I19</f>
        <v>-0.109212689188616</v>
      </c>
      <c r="M19" s="10"/>
    </row>
    <row r="20" spans="1:34" ht="28.8" x14ac:dyDescent="0.3">
      <c r="A20" s="24" t="s">
        <v>18</v>
      </c>
      <c r="B20" s="8">
        <f>SUM(B18:B19)</f>
        <v>38159.19</v>
      </c>
      <c r="C20" s="8">
        <f>SUM(C18:C19)</f>
        <v>39791.520000000004</v>
      </c>
      <c r="D20" s="13">
        <f t="shared" si="0"/>
        <v>1632.3300000000017</v>
      </c>
      <c r="E20" s="9">
        <f t="shared" si="1"/>
        <v>4.277685139543061E-2</v>
      </c>
      <c r="F20" s="10"/>
      <c r="H20" s="24" t="s">
        <v>59</v>
      </c>
      <c r="I20" s="8">
        <f>B20/B27</f>
        <v>11.448901890189019</v>
      </c>
      <c r="J20" s="8">
        <f>C20/C27</f>
        <v>11.699947074389886</v>
      </c>
      <c r="K20" s="13">
        <f t="shared" si="2"/>
        <v>0.25104518420086741</v>
      </c>
      <c r="L20" s="9">
        <f t="shared" si="3"/>
        <v>2.1927446545419102E-2</v>
      </c>
      <c r="M20" s="10"/>
    </row>
    <row r="21" spans="1:34" s="66" customFormat="1" x14ac:dyDescent="0.3">
      <c r="B21" s="67">
        <f>+B18/B25</f>
        <v>12.744833669354838</v>
      </c>
      <c r="C21" s="67">
        <f>+C18/C25</f>
        <v>13.744356626506024</v>
      </c>
      <c r="I21" s="67"/>
      <c r="J21" s="67"/>
    </row>
    <row r="22" spans="1:34" s="66" customFormat="1" x14ac:dyDescent="0.3">
      <c r="B22" s="67">
        <f>+B19/B26</f>
        <v>9.5429503335804302</v>
      </c>
      <c r="C22" s="67">
        <f>+C19/C26</f>
        <v>8.5007390648567114</v>
      </c>
      <c r="I22" s="67"/>
      <c r="J22" s="67"/>
    </row>
    <row r="23" spans="1:34" ht="35.450000000000003" customHeight="1" x14ac:dyDescent="0.3">
      <c r="A23" s="128" t="s">
        <v>13</v>
      </c>
      <c r="B23" s="128"/>
      <c r="C23" s="128"/>
      <c r="D23" s="128"/>
      <c r="E23" s="128"/>
      <c r="F23" s="128"/>
      <c r="R23" s="127" t="s">
        <v>103</v>
      </c>
      <c r="S23" s="127"/>
      <c r="T23" s="127"/>
      <c r="U23" s="127"/>
      <c r="V23" s="129" t="s">
        <v>102</v>
      </c>
      <c r="W23" s="130"/>
      <c r="X23" s="130"/>
      <c r="Y23" s="130"/>
      <c r="Z23" s="93"/>
      <c r="AB23" s="127" t="s">
        <v>83</v>
      </c>
      <c r="AC23" s="127"/>
      <c r="AD23" s="127"/>
      <c r="AE23" s="127"/>
      <c r="AF23" s="127"/>
      <c r="AG23" s="127"/>
      <c r="AH23" s="127"/>
    </row>
    <row r="24" spans="1:34" ht="43.2" x14ac:dyDescent="0.3">
      <c r="A24" s="5" t="s">
        <v>11</v>
      </c>
      <c r="B24" s="6" t="s">
        <v>8</v>
      </c>
      <c r="C24" s="6" t="s">
        <v>9</v>
      </c>
      <c r="D24" s="7" t="s">
        <v>11</v>
      </c>
      <c r="E24" s="7" t="s">
        <v>10</v>
      </c>
      <c r="F24" s="18" t="s">
        <v>14</v>
      </c>
      <c r="R24" s="81" t="s">
        <v>84</v>
      </c>
      <c r="S24" s="84" t="s">
        <v>87</v>
      </c>
      <c r="T24" s="6" t="s">
        <v>90</v>
      </c>
      <c r="U24" s="84" t="s">
        <v>88</v>
      </c>
      <c r="V24" s="81" t="s">
        <v>93</v>
      </c>
      <c r="W24" s="84" t="s">
        <v>92</v>
      </c>
      <c r="X24" s="6" t="s">
        <v>90</v>
      </c>
      <c r="Y24" s="84" t="s">
        <v>88</v>
      </c>
      <c r="Z24" s="6" t="s">
        <v>97</v>
      </c>
      <c r="AB24" s="5"/>
      <c r="AC24" s="7" t="s">
        <v>78</v>
      </c>
      <c r="AD24" s="7" t="s">
        <v>79</v>
      </c>
      <c r="AE24" s="7" t="s">
        <v>82</v>
      </c>
      <c r="AF24" s="7" t="s">
        <v>80</v>
      </c>
      <c r="AG24" s="7" t="s">
        <v>81</v>
      </c>
      <c r="AH24" s="7" t="s">
        <v>89</v>
      </c>
    </row>
    <row r="25" spans="1:34" x14ac:dyDescent="0.3">
      <c r="A25" s="10" t="s">
        <v>6</v>
      </c>
      <c r="B25" s="20">
        <f>ROUNDUP(B18/12.75,0)</f>
        <v>1984</v>
      </c>
      <c r="C25" s="20">
        <f>ROUNDUP(C18/13.75,0)</f>
        <v>2075</v>
      </c>
      <c r="D25" s="96">
        <f>C25-B25</f>
        <v>91</v>
      </c>
      <c r="E25" s="12">
        <f>D25/B25</f>
        <v>4.5866935483870969E-2</v>
      </c>
      <c r="F25" s="10"/>
      <c r="R25" s="82" t="s">
        <v>85</v>
      </c>
      <c r="S25" s="73">
        <f>+C25</f>
        <v>2075</v>
      </c>
      <c r="T25" s="27" t="s">
        <v>99</v>
      </c>
      <c r="U25" s="29">
        <f>+S25*0.9995</f>
        <v>2073.9625000000001</v>
      </c>
      <c r="V25" s="82" t="s">
        <v>94</v>
      </c>
      <c r="W25" s="44">
        <f>I18</f>
        <v>12.744833669354838</v>
      </c>
      <c r="X25" s="27" t="s">
        <v>98</v>
      </c>
      <c r="Y25" s="29">
        <f>91*12.7448</f>
        <v>1159.7767999999999</v>
      </c>
      <c r="Z25" s="90">
        <f>+Y25+U25</f>
        <v>3233.7393000000002</v>
      </c>
      <c r="AB25" s="10" t="s">
        <v>6</v>
      </c>
      <c r="AC25" s="20">
        <f>B18</f>
        <v>25285.75</v>
      </c>
      <c r="AD25" s="20">
        <f>C18</f>
        <v>28519.54</v>
      </c>
      <c r="AE25" s="12">
        <f>+AD25/AC25-1</f>
        <v>0.12788981936466204</v>
      </c>
      <c r="AF25" s="79">
        <f>+B25</f>
        <v>1984</v>
      </c>
      <c r="AG25" s="79">
        <f>+C25</f>
        <v>2075</v>
      </c>
      <c r="AH25" s="12">
        <f>+AG25/AF25-1</f>
        <v>4.5866935483870996E-2</v>
      </c>
    </row>
    <row r="26" spans="1:34" x14ac:dyDescent="0.3">
      <c r="A26" s="10" t="s">
        <v>7</v>
      </c>
      <c r="B26" s="20">
        <f>+ROUND(B19/9.54,0)</f>
        <v>1349</v>
      </c>
      <c r="C26" s="20">
        <f>+ROUND(C19/8.5,0)</f>
        <v>1326</v>
      </c>
      <c r="D26" s="97">
        <f t="shared" ref="D26:D27" si="4">C26-B26</f>
        <v>-23</v>
      </c>
      <c r="E26" s="15">
        <f t="shared" ref="E26:E27" si="5">D26/B26</f>
        <v>-1.704966641957005E-2</v>
      </c>
      <c r="F26" s="10"/>
      <c r="R26" s="83" t="s">
        <v>86</v>
      </c>
      <c r="S26" s="73">
        <f>+C26</f>
        <v>1326</v>
      </c>
      <c r="T26" s="27" t="s">
        <v>100</v>
      </c>
      <c r="U26" s="29">
        <f>+S26*-1.0422</f>
        <v>-1381.9572000000001</v>
      </c>
      <c r="V26" s="83" t="s">
        <v>95</v>
      </c>
      <c r="W26" s="44">
        <f t="shared" ref="W26" si="6">I19</f>
        <v>9.5429503335804302</v>
      </c>
      <c r="X26" s="89" t="s">
        <v>96</v>
      </c>
      <c r="Y26" s="29">
        <f>-23*9.543</f>
        <v>-219.48899999999998</v>
      </c>
      <c r="Z26" s="90">
        <f>+Y26+U26</f>
        <v>-1601.4462000000001</v>
      </c>
      <c r="AB26" s="10" t="s">
        <v>7</v>
      </c>
      <c r="AC26" s="20">
        <f>B19</f>
        <v>12873.44</v>
      </c>
      <c r="AD26" s="20">
        <f>C19</f>
        <v>11271.98</v>
      </c>
      <c r="AE26" s="77">
        <f t="shared" ref="AE26:AE27" si="7">+AD26/AC26-1</f>
        <v>-0.124400315688736</v>
      </c>
      <c r="AF26" s="79">
        <f>+B26</f>
        <v>1349</v>
      </c>
      <c r="AG26" s="79">
        <f>+C26</f>
        <v>1326</v>
      </c>
      <c r="AH26" s="77">
        <f t="shared" ref="AH26:AH27" si="8">+AG26/AF26-1</f>
        <v>-1.7049666419570064E-2</v>
      </c>
    </row>
    <row r="27" spans="1:34" ht="72" x14ac:dyDescent="0.3">
      <c r="A27" s="24" t="s">
        <v>17</v>
      </c>
      <c r="B27" s="21">
        <f>SUM(B25:B26)</f>
        <v>3333</v>
      </c>
      <c r="C27" s="21">
        <f>SUM(C25:C26)</f>
        <v>3401</v>
      </c>
      <c r="D27" s="68">
        <f t="shared" si="4"/>
        <v>68</v>
      </c>
      <c r="E27" s="9">
        <f t="shared" si="5"/>
        <v>2.0402040204020401E-2</v>
      </c>
      <c r="F27" s="10"/>
      <c r="R27" s="88"/>
      <c r="S27" s="73">
        <f>+C27</f>
        <v>3401</v>
      </c>
      <c r="T27" s="27" t="s">
        <v>91</v>
      </c>
      <c r="U27" s="29">
        <f>SUM(U25:U26)</f>
        <v>692.00530000000003</v>
      </c>
      <c r="V27" s="88"/>
      <c r="W27" s="29">
        <f>+I20</f>
        <v>11.448901890189019</v>
      </c>
      <c r="X27" s="27" t="s">
        <v>91</v>
      </c>
      <c r="Y27" s="29">
        <f>SUM(Y25:Y26)</f>
        <v>940.28779999999983</v>
      </c>
      <c r="Z27" s="90">
        <f>+Y27+U27</f>
        <v>1632.2930999999999</v>
      </c>
      <c r="AB27" s="24" t="s">
        <v>17</v>
      </c>
      <c r="AC27" s="21">
        <f>SUM(AC25:AC26)</f>
        <v>38159.19</v>
      </c>
      <c r="AD27" s="21">
        <f>SUM(AD25:AD26)</f>
        <v>39791.520000000004</v>
      </c>
      <c r="AE27" s="91">
        <f t="shared" si="7"/>
        <v>4.2776851395430526E-2</v>
      </c>
      <c r="AF27" s="80">
        <f>SUM(AF25:AF26)</f>
        <v>3333</v>
      </c>
      <c r="AG27" s="80">
        <f>SUM(AG25:AG26)</f>
        <v>3401</v>
      </c>
      <c r="AH27" s="78">
        <f t="shared" si="8"/>
        <v>2.0402040204020366E-2</v>
      </c>
    </row>
    <row r="28" spans="1:34" ht="14.95" thickBot="1" x14ac:dyDescent="0.35">
      <c r="J28" s="86"/>
      <c r="P28" s="87"/>
      <c r="W28" s="36"/>
      <c r="X28" s="36"/>
      <c r="Z28" s="36" t="e">
        <f>+#REF!+#REF!</f>
        <v>#REF!</v>
      </c>
    </row>
    <row r="29" spans="1:34" ht="14.95" thickBot="1" x14ac:dyDescent="0.35">
      <c r="J29" s="85"/>
      <c r="K29" s="86"/>
      <c r="L29" s="85"/>
      <c r="M29" s="36"/>
      <c r="R29" s="123" t="s">
        <v>101</v>
      </c>
      <c r="S29" s="124"/>
      <c r="T29" s="125"/>
      <c r="U29" s="92">
        <f>+B20</f>
        <v>38159.19</v>
      </c>
      <c r="V29" s="123" t="s">
        <v>101</v>
      </c>
      <c r="W29" s="124"/>
      <c r="X29" s="125"/>
      <c r="Y29" s="92">
        <f>+U29</f>
        <v>38159.19</v>
      </c>
      <c r="Z29" s="92">
        <f>+Y29</f>
        <v>38159.19</v>
      </c>
    </row>
  </sheetData>
  <mergeCells count="8">
    <mergeCell ref="A16:F16"/>
    <mergeCell ref="A23:F23"/>
    <mergeCell ref="V23:Y23"/>
    <mergeCell ref="R29:T29"/>
    <mergeCell ref="V29:X29"/>
    <mergeCell ref="H16:M16"/>
    <mergeCell ref="AB23:AH23"/>
    <mergeCell ref="R23:U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006EA-1DE1-4CE4-A02C-27153CEC65C7}">
  <dimension ref="B3:P31"/>
  <sheetViews>
    <sheetView showGridLines="0" topLeftCell="B12" workbookViewId="0">
      <selection activeCell="K19" sqref="K19"/>
    </sheetView>
  </sheetViews>
  <sheetFormatPr baseColWidth="10" defaultRowHeight="14.4" x14ac:dyDescent="0.3"/>
  <cols>
    <col min="2" max="2" width="23.69921875" bestFit="1" customWidth="1"/>
    <col min="5" max="5" width="13.8984375" customWidth="1"/>
    <col min="6" max="6" width="14.3984375" customWidth="1"/>
    <col min="7" max="7" width="21" bestFit="1" customWidth="1"/>
    <col min="9" max="9" width="22.59765625" bestFit="1" customWidth="1"/>
    <col min="14" max="14" width="19.296875" bestFit="1" customWidth="1"/>
  </cols>
  <sheetData>
    <row r="3" spans="2:16" s="99" customFormat="1" x14ac:dyDescent="0.3">
      <c r="B3" s="102" t="s">
        <v>106</v>
      </c>
    </row>
    <row r="4" spans="2:16" s="99" customFormat="1" ht="16.100000000000001" x14ac:dyDescent="0.35">
      <c r="B4" s="102" t="s">
        <v>107</v>
      </c>
      <c r="C4" s="101"/>
      <c r="F4" s="100"/>
      <c r="G4" s="101"/>
      <c r="N4" s="102"/>
      <c r="O4" s="102"/>
      <c r="P4" s="102"/>
    </row>
    <row r="5" spans="2:16" s="99" customFormat="1" ht="16.100000000000001" x14ac:dyDescent="0.35">
      <c r="B5" s="102" t="s">
        <v>108</v>
      </c>
      <c r="C5" s="103"/>
      <c r="D5" s="100"/>
      <c r="F5" s="100"/>
      <c r="G5" s="104"/>
      <c r="N5" s="105"/>
      <c r="O5" s="105"/>
      <c r="P5" s="105"/>
    </row>
    <row r="6" spans="2:16" s="99" customFormat="1" ht="16.100000000000001" x14ac:dyDescent="0.35">
      <c r="B6" s="102" t="s">
        <v>109</v>
      </c>
      <c r="C6" s="103"/>
      <c r="F6" s="100"/>
      <c r="G6" s="104"/>
    </row>
    <row r="7" spans="2:16" s="99" customFormat="1" ht="16.100000000000001" x14ac:dyDescent="0.35">
      <c r="B7" s="102" t="s">
        <v>110</v>
      </c>
      <c r="C7" s="103"/>
      <c r="F7" s="100"/>
      <c r="G7" s="104"/>
    </row>
    <row r="8" spans="2:16" s="99" customFormat="1" x14ac:dyDescent="0.3">
      <c r="B8" s="102"/>
    </row>
    <row r="9" spans="2:16" s="99" customFormat="1" x14ac:dyDescent="0.3">
      <c r="B9" s="102"/>
      <c r="N9" s="102"/>
      <c r="O9" s="102"/>
      <c r="P9" s="102"/>
    </row>
    <row r="10" spans="2:16" x14ac:dyDescent="0.3">
      <c r="B10" s="102"/>
      <c r="N10" s="36" t="e">
        <f>+N5/N5</f>
        <v>#DIV/0!</v>
      </c>
      <c r="O10" s="36" t="e">
        <f>+O5/N5</f>
        <v>#DIV/0!</v>
      </c>
      <c r="P10" s="36" t="e">
        <f>+P5/N5</f>
        <v>#DIV/0!</v>
      </c>
    </row>
    <row r="11" spans="2:16" x14ac:dyDescent="0.3">
      <c r="B11" s="102"/>
    </row>
    <row r="16" spans="2:16" ht="35.450000000000003" customHeight="1" x14ac:dyDescent="0.3">
      <c r="B16" s="128" t="s">
        <v>42</v>
      </c>
      <c r="C16" s="128"/>
      <c r="D16" s="128"/>
      <c r="E16" s="128"/>
      <c r="F16" s="128"/>
      <c r="G16" s="128"/>
      <c r="I16" s="126" t="s">
        <v>77</v>
      </c>
      <c r="J16" s="126"/>
      <c r="K16" s="126"/>
      <c r="L16" s="126"/>
      <c r="M16" s="126"/>
      <c r="N16" s="126"/>
    </row>
    <row r="17" spans="2:14" ht="57.6" x14ac:dyDescent="0.3">
      <c r="B17" s="5" t="s">
        <v>43</v>
      </c>
      <c r="C17" s="6" t="s">
        <v>25</v>
      </c>
      <c r="D17" s="6" t="s">
        <v>26</v>
      </c>
      <c r="E17" s="7" t="s">
        <v>33</v>
      </c>
      <c r="F17" s="49" t="s">
        <v>30</v>
      </c>
      <c r="G17" s="18" t="s">
        <v>29</v>
      </c>
      <c r="I17" s="23"/>
      <c r="J17" s="6" t="s">
        <v>25</v>
      </c>
      <c r="K17" s="6" t="s">
        <v>26</v>
      </c>
      <c r="L17" s="7" t="s">
        <v>33</v>
      </c>
      <c r="M17" s="49" t="s">
        <v>30</v>
      </c>
      <c r="N17" s="18" t="s">
        <v>29</v>
      </c>
    </row>
    <row r="18" spans="2:14" x14ac:dyDescent="0.3">
      <c r="B18" s="10" t="s">
        <v>6</v>
      </c>
      <c r="C18" s="11">
        <v>25285.75</v>
      </c>
      <c r="D18" s="11">
        <v>30176.639999999996</v>
      </c>
      <c r="E18" s="11">
        <f>C18-D18</f>
        <v>-4890.8899999999958</v>
      </c>
      <c r="F18" s="15">
        <f>C18/D18</f>
        <v>0.83792463309367793</v>
      </c>
      <c r="G18" s="10"/>
      <c r="I18" s="10" t="s">
        <v>6</v>
      </c>
      <c r="J18" s="11">
        <f>C18/C25</f>
        <v>12.744833669354838</v>
      </c>
      <c r="K18" s="11">
        <f t="shared" ref="K18:K19" si="0">D18/D25</f>
        <v>13</v>
      </c>
      <c r="L18" s="19">
        <f>J18-K18</f>
        <v>-0.25516633064516192</v>
      </c>
      <c r="M18" s="15">
        <f>J18/K18</f>
        <v>0.98037182071960294</v>
      </c>
      <c r="N18" s="10"/>
    </row>
    <row r="19" spans="2:14" x14ac:dyDescent="0.3">
      <c r="B19" s="10" t="s">
        <v>7</v>
      </c>
      <c r="C19" s="11">
        <v>12873.44</v>
      </c>
      <c r="D19" s="11">
        <v>15513.5</v>
      </c>
      <c r="E19" s="11">
        <f>C19-D19</f>
        <v>-2640.0599999999995</v>
      </c>
      <c r="F19" s="15">
        <f>C19/D19</f>
        <v>0.82982176813742869</v>
      </c>
      <c r="G19" s="10"/>
      <c r="I19" s="10" t="s">
        <v>7</v>
      </c>
      <c r="J19" s="11">
        <f t="shared" ref="J19" si="1">C19/C26</f>
        <v>9.5429503335804302</v>
      </c>
      <c r="K19" s="11">
        <f t="shared" si="0"/>
        <v>10</v>
      </c>
      <c r="L19" s="19">
        <f>J19-K19</f>
        <v>-0.45704966641956979</v>
      </c>
      <c r="M19" s="15">
        <f>J19/K19</f>
        <v>0.954295033358043</v>
      </c>
      <c r="N19" s="10"/>
    </row>
    <row r="20" spans="2:14" ht="43.2" x14ac:dyDescent="0.3">
      <c r="B20" s="24" t="s">
        <v>44</v>
      </c>
      <c r="C20" s="8">
        <f>SUM(C18:C19)</f>
        <v>38159.19</v>
      </c>
      <c r="D20" s="8">
        <f>SUM(D18:D19)</f>
        <v>45690.14</v>
      </c>
      <c r="E20" s="13">
        <f>C20-D20</f>
        <v>-7530.9499999999971</v>
      </c>
      <c r="F20" s="26">
        <f>C20/D20</f>
        <v>0.83517340940518026</v>
      </c>
      <c r="G20" s="50"/>
      <c r="I20" s="24" t="s">
        <v>58</v>
      </c>
      <c r="J20" s="8">
        <f>C20/C27</f>
        <v>11.448901890189019</v>
      </c>
      <c r="K20" s="8">
        <f>D20/D27</f>
        <v>11.798219814441349</v>
      </c>
      <c r="L20" s="72">
        <f>J20-K20</f>
        <v>-0.34931792425233077</v>
      </c>
      <c r="M20" s="26">
        <f>J20/K20</f>
        <v>0.97039231937137194</v>
      </c>
      <c r="N20" s="50"/>
    </row>
    <row r="21" spans="2:14" x14ac:dyDescent="0.3">
      <c r="B21" s="66"/>
      <c r="C21" s="67"/>
      <c r="D21" s="71"/>
      <c r="E21" s="66"/>
    </row>
    <row r="22" spans="2:14" x14ac:dyDescent="0.3">
      <c r="B22" s="66"/>
      <c r="C22" s="67">
        <f>+C19/C26</f>
        <v>9.5429503335804302</v>
      </c>
      <c r="D22" s="71"/>
      <c r="E22" s="66"/>
    </row>
    <row r="23" spans="2:14" ht="35.450000000000003" customHeight="1" x14ac:dyDescent="0.3">
      <c r="B23" s="128" t="s">
        <v>45</v>
      </c>
      <c r="C23" s="128"/>
      <c r="D23" s="128"/>
      <c r="E23" s="128"/>
      <c r="F23" s="128"/>
      <c r="G23" s="128"/>
    </row>
    <row r="24" spans="2:14" ht="43.2" x14ac:dyDescent="0.3">
      <c r="B24" s="5" t="s">
        <v>46</v>
      </c>
      <c r="C24" s="6" t="s">
        <v>25</v>
      </c>
      <c r="D24" s="6" t="s">
        <v>26</v>
      </c>
      <c r="E24" s="7" t="s">
        <v>34</v>
      </c>
      <c r="F24" s="49" t="s">
        <v>31</v>
      </c>
      <c r="G24" s="18" t="s">
        <v>29</v>
      </c>
    </row>
    <row r="25" spans="2:14" x14ac:dyDescent="0.3">
      <c r="B25" s="10" t="s">
        <v>6</v>
      </c>
      <c r="C25" s="20">
        <f>ROUNDUP(C18/12.75,0)</f>
        <v>1984</v>
      </c>
      <c r="D25" s="20">
        <f>+C25*1.17</f>
        <v>2321.2799999999997</v>
      </c>
      <c r="E25" s="20">
        <f>C25-D25</f>
        <v>-337.27999999999975</v>
      </c>
      <c r="F25" s="15">
        <f>C25/D25</f>
        <v>0.85470085470085477</v>
      </c>
      <c r="G25" s="10"/>
    </row>
    <row r="26" spans="2:14" x14ac:dyDescent="0.3">
      <c r="B26" s="10" t="s">
        <v>7</v>
      </c>
      <c r="C26" s="20">
        <f>+ROUND(C19/9.54,0)</f>
        <v>1349</v>
      </c>
      <c r="D26" s="20">
        <f>+C26*1.15</f>
        <v>1551.35</v>
      </c>
      <c r="E26" s="20">
        <f>C26-D26</f>
        <v>-202.34999999999991</v>
      </c>
      <c r="F26" s="15">
        <f>C26/D26</f>
        <v>0.86956521739130443</v>
      </c>
      <c r="G26" s="10"/>
    </row>
    <row r="27" spans="2:14" ht="28.8" x14ac:dyDescent="0.3">
      <c r="B27" s="24" t="s">
        <v>47</v>
      </c>
      <c r="C27" s="21">
        <f>SUM(C25:C26)</f>
        <v>3333</v>
      </c>
      <c r="D27" s="21">
        <f>SUM(D25:D26)</f>
        <v>3872.6299999999997</v>
      </c>
      <c r="E27" s="21">
        <f>C27-D27</f>
        <v>-539.62999999999965</v>
      </c>
      <c r="F27" s="26">
        <f>C27/D27</f>
        <v>0.86065542021830133</v>
      </c>
      <c r="G27" s="50"/>
    </row>
    <row r="30" spans="2:14" x14ac:dyDescent="0.3">
      <c r="D30" s="58"/>
      <c r="E30" s="58"/>
      <c r="F30" s="58"/>
      <c r="G30" s="58"/>
    </row>
    <row r="31" spans="2:14" x14ac:dyDescent="0.3">
      <c r="D31" s="58"/>
      <c r="E31" s="58"/>
      <c r="F31" s="58"/>
      <c r="G31" s="58"/>
    </row>
  </sheetData>
  <mergeCells count="3">
    <mergeCell ref="I16:N16"/>
    <mergeCell ref="B16:G16"/>
    <mergeCell ref="B23:G2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3A491-7AF3-4E54-B250-3FB5D2354673}">
  <dimension ref="B4:P70"/>
  <sheetViews>
    <sheetView showGridLines="0" topLeftCell="A21" workbookViewId="0">
      <selection activeCell="O17" sqref="O17"/>
    </sheetView>
  </sheetViews>
  <sheetFormatPr baseColWidth="10" defaultRowHeight="14.4" x14ac:dyDescent="0.3"/>
  <cols>
    <col min="2" max="2" width="30.296875" customWidth="1"/>
    <col min="5" max="5" width="13.8984375" customWidth="1"/>
    <col min="6" max="6" width="22.19921875" bestFit="1" customWidth="1"/>
    <col min="7" max="7" width="21" bestFit="1" customWidth="1"/>
    <col min="9" max="9" width="22.59765625" bestFit="1" customWidth="1"/>
    <col min="14" max="14" width="19.296875" bestFit="1" customWidth="1"/>
  </cols>
  <sheetData>
    <row r="4" spans="2:16" ht="16.100000000000001" x14ac:dyDescent="0.35">
      <c r="B4" s="51" t="s">
        <v>36</v>
      </c>
      <c r="C4" s="54" t="s">
        <v>37</v>
      </c>
      <c r="F4" s="51" t="s">
        <v>36</v>
      </c>
      <c r="G4" s="54" t="s">
        <v>38</v>
      </c>
      <c r="N4" s="3" t="s">
        <v>112</v>
      </c>
      <c r="O4" s="3" t="s">
        <v>27</v>
      </c>
      <c r="P4" s="3" t="s">
        <v>35</v>
      </c>
    </row>
    <row r="5" spans="2:16" ht="16.100000000000001" x14ac:dyDescent="0.35">
      <c r="B5" s="51" t="s">
        <v>26</v>
      </c>
      <c r="C5" s="52">
        <v>1000</v>
      </c>
      <c r="D5" s="51" t="s">
        <v>39</v>
      </c>
      <c r="F5" s="51" t="s">
        <v>26</v>
      </c>
      <c r="G5" s="55">
        <f>+C5/$C$5</f>
        <v>1</v>
      </c>
      <c r="N5" s="4">
        <f>+C5</f>
        <v>1000</v>
      </c>
      <c r="O5" s="4">
        <f>+C7</f>
        <v>300</v>
      </c>
      <c r="P5" s="4">
        <f>+C6</f>
        <v>1300</v>
      </c>
    </row>
    <row r="6" spans="2:16" ht="16.2" x14ac:dyDescent="0.35">
      <c r="B6" s="51" t="s">
        <v>113</v>
      </c>
      <c r="C6" s="53">
        <v>1300</v>
      </c>
      <c r="F6" s="51" t="s">
        <v>32</v>
      </c>
      <c r="G6" s="56">
        <f>+C6/$C$5</f>
        <v>1.3</v>
      </c>
    </row>
    <row r="7" spans="2:16" ht="16.100000000000001" x14ac:dyDescent="0.35">
      <c r="B7" s="51" t="s">
        <v>111</v>
      </c>
      <c r="C7" s="52">
        <f>C6-C5</f>
        <v>300</v>
      </c>
      <c r="F7" s="51" t="s">
        <v>27</v>
      </c>
      <c r="G7" s="55">
        <f>+C7/$C$5</f>
        <v>0.3</v>
      </c>
      <c r="N7" s="3" t="s">
        <v>112</v>
      </c>
      <c r="O7" s="3" t="s">
        <v>27</v>
      </c>
      <c r="P7" s="3" t="s">
        <v>35</v>
      </c>
    </row>
    <row r="8" spans="2:16" x14ac:dyDescent="0.3">
      <c r="N8" s="36">
        <f>+N5/N5</f>
        <v>1</v>
      </c>
      <c r="O8" s="36">
        <f>+O5/N5</f>
        <v>0.3</v>
      </c>
      <c r="P8" s="36">
        <f>+P5/N5</f>
        <v>1.3</v>
      </c>
    </row>
    <row r="16" spans="2:16" ht="35.450000000000003" customHeight="1" x14ac:dyDescent="0.3">
      <c r="B16" s="128" t="s">
        <v>42</v>
      </c>
      <c r="C16" s="128"/>
      <c r="D16" s="128"/>
      <c r="E16" s="128"/>
      <c r="F16" s="128"/>
      <c r="G16" s="128"/>
      <c r="I16" s="128" t="s">
        <v>77</v>
      </c>
      <c r="J16" s="128"/>
      <c r="K16" s="128"/>
      <c r="L16" s="128"/>
      <c r="M16" s="128"/>
      <c r="N16" s="128"/>
    </row>
    <row r="17" spans="2:14" ht="57.6" x14ac:dyDescent="0.3">
      <c r="B17" s="5" t="s">
        <v>43</v>
      </c>
      <c r="C17" s="6" t="s">
        <v>25</v>
      </c>
      <c r="D17" s="6" t="s">
        <v>26</v>
      </c>
      <c r="E17" s="7" t="s">
        <v>33</v>
      </c>
      <c r="F17" s="49" t="s">
        <v>30</v>
      </c>
      <c r="G17" s="18" t="s">
        <v>29</v>
      </c>
      <c r="I17" s="23"/>
      <c r="J17" s="6" t="s">
        <v>25</v>
      </c>
      <c r="K17" s="6" t="s">
        <v>26</v>
      </c>
      <c r="L17" s="7" t="s">
        <v>33</v>
      </c>
      <c r="M17" s="49" t="s">
        <v>30</v>
      </c>
      <c r="N17" s="18" t="s">
        <v>29</v>
      </c>
    </row>
    <row r="18" spans="2:14" x14ac:dyDescent="0.3">
      <c r="B18" s="10" t="s">
        <v>6</v>
      </c>
      <c r="C18" s="11">
        <v>25285.75</v>
      </c>
      <c r="D18" s="11">
        <v>30176.639999999996</v>
      </c>
      <c r="E18" s="11">
        <f>+C18-D18</f>
        <v>-4890.8899999999958</v>
      </c>
      <c r="F18" s="15">
        <f>+E18/D18</f>
        <v>-0.16207536690632213</v>
      </c>
      <c r="G18" s="10" t="s">
        <v>28</v>
      </c>
      <c r="I18" s="10" t="s">
        <v>6</v>
      </c>
      <c r="J18" s="11">
        <f>'Empresa ACME Datos'!J18</f>
        <v>13.744356626506024</v>
      </c>
      <c r="K18" s="11">
        <f>+D18/D25</f>
        <v>13</v>
      </c>
      <c r="L18" s="11">
        <f>+J18-K18</f>
        <v>0.74435662650602374</v>
      </c>
      <c r="M18" s="12">
        <f>+L18/K18</f>
        <v>5.7258202038924906E-2</v>
      </c>
      <c r="N18" s="10" t="s">
        <v>57</v>
      </c>
    </row>
    <row r="19" spans="2:14" x14ac:dyDescent="0.3">
      <c r="B19" s="10" t="s">
        <v>7</v>
      </c>
      <c r="C19" s="11">
        <v>12873.44</v>
      </c>
      <c r="D19" s="11">
        <v>15513.5</v>
      </c>
      <c r="E19" s="11">
        <f>+C19-D19</f>
        <v>-2640.0599999999995</v>
      </c>
      <c r="F19" s="15">
        <f t="shared" ref="F19:F20" si="0">+E19/D19</f>
        <v>-0.17017823186257128</v>
      </c>
      <c r="G19" s="10" t="s">
        <v>28</v>
      </c>
      <c r="I19" s="10" t="s">
        <v>7</v>
      </c>
      <c r="J19" s="11">
        <f>'Empresa ACME Datos'!J19</f>
        <v>8.5007390648567114</v>
      </c>
      <c r="K19" s="11">
        <f>+D19/D26</f>
        <v>10</v>
      </c>
      <c r="L19" s="19">
        <f>+J19-K19</f>
        <v>-1.4992609351432886</v>
      </c>
      <c r="M19" s="15">
        <f t="shared" ref="M19:M20" si="1">+L19/K19</f>
        <v>-0.14992609351432887</v>
      </c>
      <c r="N19" s="10" t="s">
        <v>28</v>
      </c>
    </row>
    <row r="20" spans="2:14" ht="43.2" x14ac:dyDescent="0.3">
      <c r="B20" s="24" t="s">
        <v>44</v>
      </c>
      <c r="C20" s="8">
        <f>SUM(C18:C19)</f>
        <v>38159.19</v>
      </c>
      <c r="D20" s="8">
        <f>SUM(D18:D19)</f>
        <v>45690.14</v>
      </c>
      <c r="E20" s="13">
        <f>+C20-D20</f>
        <v>-7530.9499999999971</v>
      </c>
      <c r="F20" s="26">
        <f t="shared" si="0"/>
        <v>-0.16482659059481974</v>
      </c>
      <c r="G20" s="50" t="s">
        <v>28</v>
      </c>
      <c r="I20" s="24" t="s">
        <v>58</v>
      </c>
      <c r="J20" s="8">
        <f>'Empresa ACME Datos'!I20</f>
        <v>11.448901890189019</v>
      </c>
      <c r="K20" s="8">
        <f>D20/D27</f>
        <v>11.798219814441349</v>
      </c>
      <c r="L20" s="72">
        <f>+J20-K20</f>
        <v>-0.34931792425233077</v>
      </c>
      <c r="M20" s="26">
        <f t="shared" si="1"/>
        <v>-2.960768062862805E-2</v>
      </c>
      <c r="N20" s="50" t="s">
        <v>28</v>
      </c>
    </row>
    <row r="21" spans="2:14" x14ac:dyDescent="0.3">
      <c r="B21" s="66"/>
      <c r="C21" s="67">
        <f>+C18/C25</f>
        <v>12.744833669354838</v>
      </c>
      <c r="D21" s="71">
        <v>13</v>
      </c>
      <c r="E21" s="66"/>
    </row>
    <row r="22" spans="2:14" x14ac:dyDescent="0.3">
      <c r="B22" s="66"/>
      <c r="C22" s="67">
        <f>+C19/C26</f>
        <v>9.5429503335804302</v>
      </c>
      <c r="D22" s="71">
        <v>10</v>
      </c>
      <c r="E22" s="66"/>
    </row>
    <row r="23" spans="2:14" ht="35.450000000000003" customHeight="1" x14ac:dyDescent="0.3">
      <c r="B23" s="126" t="s">
        <v>45</v>
      </c>
      <c r="C23" s="126"/>
      <c r="D23" s="126"/>
      <c r="E23" s="126"/>
      <c r="F23" s="126"/>
      <c r="G23" s="126"/>
    </row>
    <row r="24" spans="2:14" ht="43.2" x14ac:dyDescent="0.3">
      <c r="B24" s="5" t="s">
        <v>46</v>
      </c>
      <c r="C24" s="6" t="s">
        <v>25</v>
      </c>
      <c r="D24" s="6" t="s">
        <v>26</v>
      </c>
      <c r="E24" s="7" t="s">
        <v>34</v>
      </c>
      <c r="F24" s="49" t="s">
        <v>31</v>
      </c>
      <c r="G24" s="18" t="s">
        <v>29</v>
      </c>
    </row>
    <row r="25" spans="2:14" x14ac:dyDescent="0.3">
      <c r="B25" s="10" t="s">
        <v>6</v>
      </c>
      <c r="C25" s="20">
        <f>ROUNDUP(C18/12.75,0)</f>
        <v>1984</v>
      </c>
      <c r="D25" s="20">
        <f>+C25*1.17</f>
        <v>2321.2799999999997</v>
      </c>
      <c r="E25" s="20">
        <f t="shared" ref="E25:E26" si="2">+C25-D25</f>
        <v>-337.27999999999975</v>
      </c>
      <c r="F25" s="15">
        <f>+E25/D25</f>
        <v>-0.1452991452991452</v>
      </c>
      <c r="G25" s="10" t="s">
        <v>28</v>
      </c>
    </row>
    <row r="26" spans="2:14" x14ac:dyDescent="0.3">
      <c r="B26" s="10" t="s">
        <v>7</v>
      </c>
      <c r="C26" s="20">
        <f>+ROUND(C19/9.54,0)</f>
        <v>1349</v>
      </c>
      <c r="D26" s="20">
        <f>+C26*1.15</f>
        <v>1551.35</v>
      </c>
      <c r="E26" s="20">
        <f t="shared" si="2"/>
        <v>-202.34999999999991</v>
      </c>
      <c r="F26" s="15">
        <f t="shared" ref="F26:F27" si="3">+E26/D26</f>
        <v>-0.13043478260869559</v>
      </c>
      <c r="G26" s="10" t="s">
        <v>28</v>
      </c>
    </row>
    <row r="27" spans="2:14" ht="28.8" x14ac:dyDescent="0.3">
      <c r="B27" s="24" t="s">
        <v>47</v>
      </c>
      <c r="C27" s="21">
        <f>SUM(C25:C26)</f>
        <v>3333</v>
      </c>
      <c r="D27" s="21">
        <f>SUM(D25:D26)</f>
        <v>3872.6299999999997</v>
      </c>
      <c r="E27" s="21">
        <f>+C27-D27</f>
        <v>-539.62999999999965</v>
      </c>
      <c r="F27" s="26">
        <f t="shared" si="3"/>
        <v>-0.13934457978169867</v>
      </c>
      <c r="G27" s="50" t="s">
        <v>28</v>
      </c>
    </row>
    <row r="30" spans="2:14" ht="40.15" customHeight="1" x14ac:dyDescent="0.3">
      <c r="B30" s="142" t="s">
        <v>48</v>
      </c>
      <c r="C30" s="142"/>
      <c r="D30" s="142"/>
      <c r="E30" s="142"/>
      <c r="F30" s="142"/>
      <c r="G30" s="142"/>
    </row>
    <row r="31" spans="2:14" ht="43.2" x14ac:dyDescent="0.3">
      <c r="B31" s="23" t="s">
        <v>49</v>
      </c>
      <c r="C31" s="6" t="s">
        <v>25</v>
      </c>
      <c r="D31" s="6" t="s">
        <v>26</v>
      </c>
      <c r="E31" s="7" t="s">
        <v>33</v>
      </c>
      <c r="F31" s="7" t="s">
        <v>50</v>
      </c>
      <c r="G31" s="18" t="s">
        <v>14</v>
      </c>
    </row>
    <row r="32" spans="2:14" x14ac:dyDescent="0.3">
      <c r="B32" s="10" t="s">
        <v>6</v>
      </c>
      <c r="C32" s="11">
        <f>+C25*7.24</f>
        <v>14364.16</v>
      </c>
      <c r="D32" s="11">
        <f>+D25*8.21</f>
        <v>19057.7088</v>
      </c>
      <c r="E32" s="11">
        <f>+C32-D32</f>
        <v>-4693.5488000000005</v>
      </c>
      <c r="F32" s="12">
        <f>+E32/D32</f>
        <v>-0.2462808540762256</v>
      </c>
      <c r="G32" s="10"/>
    </row>
    <row r="33" spans="2:7" x14ac:dyDescent="0.3">
      <c r="B33" s="10" t="s">
        <v>7</v>
      </c>
      <c r="C33" s="11">
        <f>+C26*8.73</f>
        <v>11776.77</v>
      </c>
      <c r="D33" s="11">
        <f>+D26*8.45</f>
        <v>13108.907499999998</v>
      </c>
      <c r="E33" s="19">
        <f t="shared" ref="E33:E34" si="4">+C33-D33</f>
        <v>-1332.1374999999971</v>
      </c>
      <c r="F33" s="15">
        <f t="shared" ref="F33:F34" si="5">+E33/D33</f>
        <v>-0.10162078723951613</v>
      </c>
      <c r="G33" s="10"/>
    </row>
    <row r="34" spans="2:7" ht="28.8" x14ac:dyDescent="0.3">
      <c r="B34" s="24" t="s">
        <v>51</v>
      </c>
      <c r="C34" s="21">
        <f>SUM(C32:C33)</f>
        <v>26140.93</v>
      </c>
      <c r="D34" s="21">
        <f>SUM(D32:D33)</f>
        <v>32166.616299999998</v>
      </c>
      <c r="E34" s="68">
        <f t="shared" si="4"/>
        <v>-6025.6862999999976</v>
      </c>
      <c r="F34" s="9">
        <f t="shared" si="5"/>
        <v>-0.18732732855087397</v>
      </c>
      <c r="G34" s="10"/>
    </row>
    <row r="37" spans="2:7" ht="40.15" customHeight="1" x14ac:dyDescent="0.3">
      <c r="B37" s="143" t="s">
        <v>52</v>
      </c>
      <c r="C37" s="143"/>
      <c r="D37" s="143"/>
      <c r="E37" s="143"/>
      <c r="F37" s="143"/>
      <c r="G37" s="143"/>
    </row>
    <row r="38" spans="2:7" ht="43.2" x14ac:dyDescent="0.3">
      <c r="B38" s="23" t="s">
        <v>49</v>
      </c>
      <c r="C38" s="6" t="s">
        <v>25</v>
      </c>
      <c r="D38" s="6" t="s">
        <v>26</v>
      </c>
      <c r="E38" s="7" t="s">
        <v>49</v>
      </c>
      <c r="F38" s="7" t="s">
        <v>50</v>
      </c>
      <c r="G38" s="18" t="s">
        <v>14</v>
      </c>
    </row>
    <row r="39" spans="2:7" x14ac:dyDescent="0.3">
      <c r="B39" s="10" t="s">
        <v>6</v>
      </c>
      <c r="C39" s="20">
        <f>+C18-C32</f>
        <v>10921.59</v>
      </c>
      <c r="D39" s="20">
        <f t="shared" ref="D39:D40" si="6">+D18-D32</f>
        <v>11118.931199999995</v>
      </c>
      <c r="E39" s="11">
        <f>+C39-D39</f>
        <v>-197.3411999999953</v>
      </c>
      <c r="F39" s="12">
        <f>+E39/D39</f>
        <v>-1.7748216663126343E-2</v>
      </c>
      <c r="G39" s="10"/>
    </row>
    <row r="40" spans="2:7" x14ac:dyDescent="0.3">
      <c r="B40" s="10" t="s">
        <v>7</v>
      </c>
      <c r="C40" s="20">
        <f t="shared" ref="C40" si="7">+C19-C33</f>
        <v>1096.67</v>
      </c>
      <c r="D40" s="20">
        <f t="shared" si="6"/>
        <v>2404.5925000000025</v>
      </c>
      <c r="E40" s="69">
        <f t="shared" ref="E40:E41" si="8">+C40-D40</f>
        <v>-1307.9225000000024</v>
      </c>
      <c r="F40" s="70">
        <f t="shared" ref="F40:F41" si="9">+E40/D40</f>
        <v>-0.54392688158180691</v>
      </c>
      <c r="G40" s="14"/>
    </row>
    <row r="41" spans="2:7" ht="28.8" x14ac:dyDescent="0.3">
      <c r="B41" s="24" t="s">
        <v>53</v>
      </c>
      <c r="C41" s="21">
        <f>SUM(C39:C40)</f>
        <v>12018.26</v>
      </c>
      <c r="D41" s="21">
        <f>SUM(D39:D40)</f>
        <v>13523.523699999998</v>
      </c>
      <c r="E41" s="68">
        <f t="shared" si="8"/>
        <v>-1505.2636999999977</v>
      </c>
      <c r="F41" s="9">
        <f t="shared" si="9"/>
        <v>-0.11130706267035995</v>
      </c>
      <c r="G41" s="10"/>
    </row>
    <row r="44" spans="2:7" ht="40.15" customHeight="1" x14ac:dyDescent="0.3">
      <c r="B44" s="143" t="s">
        <v>15</v>
      </c>
      <c r="C44" s="143"/>
      <c r="D44" s="143"/>
      <c r="E44" s="143"/>
      <c r="F44" s="143"/>
      <c r="G44" s="143"/>
    </row>
    <row r="45" spans="2:7" ht="57.6" x14ac:dyDescent="0.3">
      <c r="B45" s="23" t="s">
        <v>49</v>
      </c>
      <c r="C45" s="6" t="s">
        <v>25</v>
      </c>
      <c r="D45" s="6" t="s">
        <v>26</v>
      </c>
      <c r="E45" s="7" t="s">
        <v>54</v>
      </c>
      <c r="F45" s="7"/>
      <c r="G45" s="18" t="s">
        <v>14</v>
      </c>
    </row>
    <row r="46" spans="2:7" x14ac:dyDescent="0.3">
      <c r="B46" s="10" t="s">
        <v>6</v>
      </c>
      <c r="C46" s="12">
        <f t="shared" ref="C46:D48" si="10">+C39/C18</f>
        <v>0.43192667806966373</v>
      </c>
      <c r="D46" s="12">
        <f t="shared" si="10"/>
        <v>0.36846153846153834</v>
      </c>
      <c r="E46" s="16">
        <f>+D46-C46</f>
        <v>-6.3465139608125387E-2</v>
      </c>
      <c r="F46" s="12"/>
      <c r="G46" s="10" t="s">
        <v>55</v>
      </c>
    </row>
    <row r="47" spans="2:7" x14ac:dyDescent="0.3">
      <c r="B47" s="10" t="s">
        <v>7</v>
      </c>
      <c r="C47" s="12">
        <f t="shared" si="10"/>
        <v>8.5188574304925491E-2</v>
      </c>
      <c r="D47" s="12">
        <f t="shared" si="10"/>
        <v>0.15500000000000017</v>
      </c>
      <c r="E47" s="17">
        <f>+D47-C47</f>
        <v>6.9811425695074675E-2</v>
      </c>
      <c r="F47" s="15"/>
      <c r="G47" s="14" t="s">
        <v>56</v>
      </c>
    </row>
    <row r="48" spans="2:7" x14ac:dyDescent="0.3">
      <c r="B48" s="24" t="s">
        <v>16</v>
      </c>
      <c r="C48" s="9">
        <f t="shared" si="10"/>
        <v>0.31495060560771859</v>
      </c>
      <c r="D48" s="9">
        <f t="shared" si="10"/>
        <v>0.29598341567786829</v>
      </c>
      <c r="E48" s="25">
        <f>+D48-C48</f>
        <v>-1.8967189929850303E-2</v>
      </c>
      <c r="F48" s="9"/>
      <c r="G48" s="14" t="s">
        <v>56</v>
      </c>
    </row>
    <row r="56" spans="2:7" ht="14.4" customHeight="1" x14ac:dyDescent="0.3">
      <c r="B56" s="138" t="s">
        <v>42</v>
      </c>
      <c r="C56" s="139"/>
      <c r="D56" s="57"/>
      <c r="E56" s="57"/>
      <c r="F56" s="57"/>
      <c r="G56" s="57"/>
    </row>
    <row r="57" spans="2:7" ht="28.8" x14ac:dyDescent="0.3">
      <c r="B57" s="5" t="s">
        <v>43</v>
      </c>
      <c r="C57" s="7" t="s">
        <v>40</v>
      </c>
      <c r="D57" s="58"/>
      <c r="E57" s="59"/>
      <c r="F57" s="60"/>
      <c r="G57" s="61"/>
    </row>
    <row r="58" spans="2:7" x14ac:dyDescent="0.3">
      <c r="B58" s="10" t="s">
        <v>6</v>
      </c>
      <c r="C58" s="11">
        <v>29584.327499999999</v>
      </c>
      <c r="D58" s="58"/>
      <c r="E58" s="62"/>
      <c r="F58" s="63"/>
      <c r="G58" s="64"/>
    </row>
    <row r="59" spans="2:7" x14ac:dyDescent="0.3">
      <c r="B59" s="10" t="s">
        <v>7</v>
      </c>
      <c r="C59" s="11">
        <v>14804.456</v>
      </c>
      <c r="D59" s="58"/>
      <c r="E59" s="62"/>
      <c r="F59" s="63"/>
      <c r="G59" s="64"/>
    </row>
    <row r="60" spans="2:7" ht="28.8" x14ac:dyDescent="0.3">
      <c r="B60" s="24" t="s">
        <v>44</v>
      </c>
      <c r="C60" s="8">
        <v>44388.783499999998</v>
      </c>
      <c r="D60" s="58"/>
      <c r="E60" s="62"/>
      <c r="F60" s="63"/>
      <c r="G60" s="64"/>
    </row>
    <row r="61" spans="2:7" x14ac:dyDescent="0.3">
      <c r="C61" s="22"/>
      <c r="D61" s="58"/>
      <c r="E61" s="58"/>
      <c r="F61" s="58"/>
      <c r="G61" s="58"/>
    </row>
    <row r="62" spans="2:7" x14ac:dyDescent="0.3">
      <c r="C62" s="22"/>
      <c r="D62" s="58"/>
      <c r="E62" s="58"/>
      <c r="F62" s="58"/>
      <c r="G62" s="58"/>
    </row>
    <row r="63" spans="2:7" ht="14.4" customHeight="1" x14ac:dyDescent="0.3">
      <c r="B63" s="140" t="s">
        <v>45</v>
      </c>
      <c r="C63" s="141"/>
      <c r="D63" s="58"/>
      <c r="E63" s="57"/>
      <c r="F63" s="57"/>
      <c r="G63" s="57"/>
    </row>
    <row r="64" spans="2:7" ht="28.8" x14ac:dyDescent="0.3">
      <c r="B64" s="5" t="s">
        <v>46</v>
      </c>
      <c r="C64" s="7" t="s">
        <v>41</v>
      </c>
      <c r="D64" s="58"/>
      <c r="E64" s="59"/>
      <c r="F64" s="60"/>
      <c r="G64" s="61"/>
    </row>
    <row r="65" spans="2:7" x14ac:dyDescent="0.3">
      <c r="B65" s="10" t="s">
        <v>6</v>
      </c>
      <c r="C65" s="20">
        <v>2152</v>
      </c>
      <c r="D65" s="58"/>
      <c r="E65" s="62"/>
      <c r="F65" s="63"/>
      <c r="G65" s="64"/>
    </row>
    <row r="66" spans="2:7" x14ac:dyDescent="0.3">
      <c r="B66" s="10" t="s">
        <v>7</v>
      </c>
      <c r="C66" s="20">
        <v>1742</v>
      </c>
      <c r="D66" s="58"/>
      <c r="E66" s="62"/>
      <c r="F66" s="63"/>
      <c r="G66" s="64"/>
    </row>
    <row r="67" spans="2:7" ht="28.8" x14ac:dyDescent="0.3">
      <c r="B67" s="24" t="s">
        <v>47</v>
      </c>
      <c r="C67" s="21">
        <v>3894</v>
      </c>
      <c r="D67" s="58"/>
      <c r="E67" s="65"/>
      <c r="F67" s="63"/>
      <c r="G67" s="64"/>
    </row>
    <row r="68" spans="2:7" x14ac:dyDescent="0.3">
      <c r="D68" s="58"/>
      <c r="E68" s="58"/>
      <c r="F68" s="58"/>
      <c r="G68" s="58"/>
    </row>
    <row r="69" spans="2:7" x14ac:dyDescent="0.3">
      <c r="D69" s="58"/>
      <c r="E69" s="58"/>
      <c r="F69" s="58"/>
      <c r="G69" s="58"/>
    </row>
    <row r="70" spans="2:7" x14ac:dyDescent="0.3">
      <c r="D70" s="58"/>
      <c r="E70" s="58"/>
      <c r="F70" s="58"/>
      <c r="G70" s="58"/>
    </row>
  </sheetData>
  <mergeCells count="8">
    <mergeCell ref="B56:C56"/>
    <mergeCell ref="B63:C63"/>
    <mergeCell ref="B16:G16"/>
    <mergeCell ref="I16:N16"/>
    <mergeCell ref="B23:G23"/>
    <mergeCell ref="B30:G30"/>
    <mergeCell ref="B37:G37"/>
    <mergeCell ref="B44:G4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DFC3E-DA1E-47D6-925D-B150C405D3DF}">
  <dimension ref="B2:L31"/>
  <sheetViews>
    <sheetView showGridLines="0" topLeftCell="A6" workbookViewId="0">
      <selection activeCell="B9" sqref="B9"/>
    </sheetView>
  </sheetViews>
  <sheetFormatPr baseColWidth="10" defaultRowHeight="14.4" x14ac:dyDescent="0.3"/>
  <cols>
    <col min="5" max="5" width="13.59765625" style="1" customWidth="1"/>
    <col min="6" max="6" width="13.59765625" customWidth="1"/>
    <col min="9" max="9" width="18.19921875" bestFit="1" customWidth="1"/>
    <col min="10" max="10" width="19.09765625" bestFit="1" customWidth="1"/>
    <col min="11" max="11" width="14" style="1" customWidth="1"/>
    <col min="12" max="12" width="14" style="36" customWidth="1"/>
  </cols>
  <sheetData>
    <row r="2" spans="2:12" x14ac:dyDescent="0.3">
      <c r="B2" s="3" t="s">
        <v>74</v>
      </c>
      <c r="H2" s="3" t="s">
        <v>73</v>
      </c>
    </row>
    <row r="3" spans="2:12" ht="43.2" x14ac:dyDescent="0.3">
      <c r="B3" s="5" t="s">
        <v>19</v>
      </c>
      <c r="C3" s="23" t="s">
        <v>61</v>
      </c>
      <c r="D3" s="23" t="s">
        <v>64</v>
      </c>
      <c r="E3" s="30" t="s">
        <v>67</v>
      </c>
      <c r="F3" s="23" t="s">
        <v>68</v>
      </c>
      <c r="H3" s="5" t="s">
        <v>19</v>
      </c>
      <c r="I3" s="23" t="s">
        <v>61</v>
      </c>
      <c r="J3" s="23" t="s">
        <v>64</v>
      </c>
      <c r="K3" s="30" t="s">
        <v>67</v>
      </c>
      <c r="L3" s="37" t="s">
        <v>68</v>
      </c>
    </row>
    <row r="4" spans="2:12" x14ac:dyDescent="0.3">
      <c r="B4" s="27" t="s">
        <v>20</v>
      </c>
      <c r="C4" s="29">
        <v>525</v>
      </c>
      <c r="D4" s="29">
        <f>+D7*D5</f>
        <v>800</v>
      </c>
      <c r="E4" s="42"/>
      <c r="F4" s="43"/>
      <c r="H4" s="27" t="s">
        <v>21</v>
      </c>
      <c r="I4" s="29">
        <v>116174.51999999999</v>
      </c>
      <c r="J4" s="29">
        <f>+J5*J7</f>
        <v>109050</v>
      </c>
      <c r="K4" s="42"/>
      <c r="L4" s="43"/>
    </row>
    <row r="5" spans="2:12" x14ac:dyDescent="0.3">
      <c r="B5" s="27"/>
      <c r="C5" s="27"/>
      <c r="D5" s="74">
        <v>1.6</v>
      </c>
      <c r="E5" s="29"/>
      <c r="F5" s="27"/>
      <c r="H5" s="27"/>
      <c r="I5" s="27"/>
      <c r="J5" s="74">
        <v>7.27</v>
      </c>
      <c r="K5" s="29"/>
      <c r="L5" s="28"/>
    </row>
    <row r="6" spans="2:12" ht="43.2" x14ac:dyDescent="0.3">
      <c r="B6" s="5" t="s">
        <v>19</v>
      </c>
      <c r="C6" s="23" t="s">
        <v>62</v>
      </c>
      <c r="D6" s="23" t="s">
        <v>65</v>
      </c>
      <c r="E6" s="30" t="s">
        <v>69</v>
      </c>
      <c r="F6" s="23" t="s">
        <v>68</v>
      </c>
      <c r="H6" s="5" t="s">
        <v>19</v>
      </c>
      <c r="I6" s="23" t="s">
        <v>70</v>
      </c>
      <c r="J6" s="23" t="s">
        <v>71</v>
      </c>
      <c r="K6" s="30" t="s">
        <v>72</v>
      </c>
      <c r="L6" s="37" t="s">
        <v>68</v>
      </c>
    </row>
    <row r="7" spans="2:12" s="32" customFormat="1" x14ac:dyDescent="0.3">
      <c r="B7" s="31" t="s">
        <v>20</v>
      </c>
      <c r="C7" s="31">
        <v>350</v>
      </c>
      <c r="D7" s="31">
        <v>500</v>
      </c>
      <c r="E7" s="41"/>
      <c r="F7" s="41"/>
      <c r="H7" s="31" t="s">
        <v>21</v>
      </c>
      <c r="I7" s="31">
        <v>15367</v>
      </c>
      <c r="J7" s="31">
        <v>15000</v>
      </c>
      <c r="K7" s="41"/>
      <c r="L7" s="43"/>
    </row>
    <row r="10" spans="2:12" ht="43.2" x14ac:dyDescent="0.3">
      <c r="B10" s="5" t="s">
        <v>19</v>
      </c>
      <c r="C10" s="23" t="s">
        <v>61</v>
      </c>
      <c r="D10" s="23" t="s">
        <v>64</v>
      </c>
      <c r="E10" s="30" t="s">
        <v>67</v>
      </c>
      <c r="F10" s="23" t="s">
        <v>68</v>
      </c>
      <c r="H10" s="5" t="s">
        <v>19</v>
      </c>
      <c r="I10" s="23" t="s">
        <v>61</v>
      </c>
      <c r="J10" s="23" t="s">
        <v>64</v>
      </c>
      <c r="K10" s="30" t="s">
        <v>67</v>
      </c>
      <c r="L10" s="37" t="s">
        <v>68</v>
      </c>
    </row>
    <row r="11" spans="2:12" x14ac:dyDescent="0.3">
      <c r="B11" s="27" t="s">
        <v>20</v>
      </c>
      <c r="C11" s="29">
        <v>525</v>
      </c>
      <c r="D11" s="29">
        <f>+D4</f>
        <v>800</v>
      </c>
      <c r="E11" s="35">
        <f>+C11-D11</f>
        <v>-275</v>
      </c>
      <c r="F11" s="75">
        <f>+E11/D11</f>
        <v>-0.34375</v>
      </c>
      <c r="H11" s="27" t="s">
        <v>21</v>
      </c>
      <c r="I11" s="29">
        <v>116174.51999999999</v>
      </c>
      <c r="J11" s="29">
        <f>+J4</f>
        <v>109050</v>
      </c>
      <c r="K11" s="38">
        <f>I11-J11</f>
        <v>7124.5199999999895</v>
      </c>
      <c r="L11" s="39">
        <f>+K11/J11</f>
        <v>6.5332599724896745E-2</v>
      </c>
    </row>
    <row r="12" spans="2:12" x14ac:dyDescent="0.3">
      <c r="B12" s="27"/>
      <c r="C12" s="27"/>
      <c r="D12" s="27"/>
      <c r="E12" s="29"/>
      <c r="F12" s="27"/>
      <c r="H12" s="27"/>
      <c r="I12" s="27"/>
      <c r="J12" s="27"/>
      <c r="K12" s="29"/>
      <c r="L12" s="28"/>
    </row>
    <row r="13" spans="2:12" ht="43.2" x14ac:dyDescent="0.3">
      <c r="B13" s="5" t="s">
        <v>19</v>
      </c>
      <c r="C13" s="23" t="s">
        <v>62</v>
      </c>
      <c r="D13" s="23" t="s">
        <v>65</v>
      </c>
      <c r="E13" s="30" t="s">
        <v>69</v>
      </c>
      <c r="F13" s="23" t="s">
        <v>68</v>
      </c>
      <c r="H13" s="5" t="s">
        <v>19</v>
      </c>
      <c r="I13" s="23" t="s">
        <v>70</v>
      </c>
      <c r="J13" s="23" t="s">
        <v>71</v>
      </c>
      <c r="K13" s="30" t="s">
        <v>72</v>
      </c>
      <c r="L13" s="37" t="s">
        <v>68</v>
      </c>
    </row>
    <row r="14" spans="2:12" s="32" customFormat="1" x14ac:dyDescent="0.3">
      <c r="B14" s="31" t="s">
        <v>20</v>
      </c>
      <c r="C14" s="31">
        <v>350</v>
      </c>
      <c r="D14" s="31">
        <f>+D7</f>
        <v>500</v>
      </c>
      <c r="E14" s="35">
        <f>+C14-D14</f>
        <v>-150</v>
      </c>
      <c r="F14" s="75">
        <f>+E14/D14</f>
        <v>-0.3</v>
      </c>
      <c r="H14" s="31" t="s">
        <v>21</v>
      </c>
      <c r="I14" s="31">
        <v>15367</v>
      </c>
      <c r="J14" s="31">
        <f>+J7</f>
        <v>15000</v>
      </c>
      <c r="K14" s="40">
        <f>I14-J14</f>
        <v>367</v>
      </c>
      <c r="L14" s="39">
        <f>+K14/J14</f>
        <v>2.4466666666666668E-2</v>
      </c>
    </row>
    <row r="17" spans="2:12" x14ac:dyDescent="0.3">
      <c r="B17" s="3" t="s">
        <v>23</v>
      </c>
      <c r="H17" s="3" t="s">
        <v>23</v>
      </c>
      <c r="L17"/>
    </row>
    <row r="18" spans="2:12" ht="57.6" x14ac:dyDescent="0.3">
      <c r="B18" s="5" t="s">
        <v>19</v>
      </c>
      <c r="C18" s="23" t="s">
        <v>63</v>
      </c>
      <c r="D18" s="23" t="s">
        <v>66</v>
      </c>
      <c r="E18" s="30" t="s">
        <v>67</v>
      </c>
      <c r="F18" s="23" t="s">
        <v>68</v>
      </c>
      <c r="H18" s="5" t="s">
        <v>19</v>
      </c>
      <c r="I18" s="23" t="s">
        <v>63</v>
      </c>
      <c r="J18" s="23" t="s">
        <v>66</v>
      </c>
      <c r="K18" s="30" t="s">
        <v>67</v>
      </c>
      <c r="L18" s="23" t="s">
        <v>68</v>
      </c>
    </row>
    <row r="19" spans="2:12" x14ac:dyDescent="0.3">
      <c r="B19" s="27" t="s">
        <v>20</v>
      </c>
      <c r="C19" s="44" t="s">
        <v>22</v>
      </c>
      <c r="D19" s="44" t="s">
        <v>75</v>
      </c>
      <c r="E19" s="42"/>
      <c r="F19" s="43"/>
      <c r="H19" s="31" t="s">
        <v>21</v>
      </c>
      <c r="I19" s="44" t="s">
        <v>24</v>
      </c>
      <c r="J19" s="44" t="s">
        <v>76</v>
      </c>
      <c r="K19" s="41"/>
      <c r="L19" s="43"/>
    </row>
    <row r="20" spans="2:12" x14ac:dyDescent="0.3">
      <c r="L20"/>
    </row>
    <row r="21" spans="2:12" x14ac:dyDescent="0.3">
      <c r="L21"/>
    </row>
    <row r="22" spans="2:12" ht="57.6" x14ac:dyDescent="0.3">
      <c r="B22" s="5" t="s">
        <v>19</v>
      </c>
      <c r="C22" s="23" t="s">
        <v>63</v>
      </c>
      <c r="D22" s="23" t="s">
        <v>66</v>
      </c>
      <c r="E22" s="30" t="s">
        <v>67</v>
      </c>
      <c r="F22" s="23" t="s">
        <v>68</v>
      </c>
      <c r="H22" s="5" t="s">
        <v>19</v>
      </c>
      <c r="I22" s="23" t="s">
        <v>63</v>
      </c>
      <c r="J22" s="23" t="s">
        <v>66</v>
      </c>
      <c r="K22" s="30" t="s">
        <v>67</v>
      </c>
      <c r="L22" s="23" t="s">
        <v>68</v>
      </c>
    </row>
    <row r="23" spans="2:12" x14ac:dyDescent="0.3">
      <c r="B23" s="27" t="s">
        <v>20</v>
      </c>
      <c r="C23" s="44">
        <f>+C11/C14</f>
        <v>1.5</v>
      </c>
      <c r="D23" s="44">
        <f>+D11/D14</f>
        <v>1.6</v>
      </c>
      <c r="E23" s="33">
        <f>+C23-D23</f>
        <v>-0.10000000000000009</v>
      </c>
      <c r="F23" s="34">
        <f>+E23/D23</f>
        <v>-6.2500000000000056E-2</v>
      </c>
      <c r="H23" s="31" t="s">
        <v>21</v>
      </c>
      <c r="I23" s="44">
        <f>+I11/I14</f>
        <v>7.56</v>
      </c>
      <c r="J23" s="44">
        <f>+J11/J14</f>
        <v>7.27</v>
      </c>
      <c r="K23" s="38">
        <f>I23-J23</f>
        <v>0.29000000000000004</v>
      </c>
      <c r="L23" s="39">
        <f>+K23/J23</f>
        <v>3.9889958734525457E-2</v>
      </c>
    </row>
    <row r="24" spans="2:12" x14ac:dyDescent="0.3">
      <c r="B24" s="27"/>
      <c r="C24" s="27"/>
      <c r="D24" s="27"/>
      <c r="E24" s="29"/>
      <c r="F24" s="27"/>
      <c r="H24" s="27"/>
      <c r="I24" s="27"/>
      <c r="J24" s="27"/>
      <c r="K24" s="29"/>
      <c r="L24" s="27"/>
    </row>
    <row r="25" spans="2:12" ht="43.2" x14ac:dyDescent="0.3">
      <c r="B25" s="5" t="s">
        <v>19</v>
      </c>
      <c r="C25" s="23" t="s">
        <v>62</v>
      </c>
      <c r="D25" s="23" t="s">
        <v>65</v>
      </c>
      <c r="E25" s="30" t="s">
        <v>69</v>
      </c>
      <c r="F25" s="23" t="s">
        <v>68</v>
      </c>
      <c r="H25" s="5" t="s">
        <v>19</v>
      </c>
      <c r="I25" s="23" t="s">
        <v>70</v>
      </c>
      <c r="J25" s="23" t="s">
        <v>71</v>
      </c>
      <c r="K25" s="30" t="s">
        <v>72</v>
      </c>
      <c r="L25" s="23" t="s">
        <v>68</v>
      </c>
    </row>
    <row r="26" spans="2:12" x14ac:dyDescent="0.3">
      <c r="B26" s="31" t="s">
        <v>20</v>
      </c>
      <c r="C26" s="31">
        <v>350</v>
      </c>
      <c r="D26" s="31">
        <f>+D31</f>
        <v>500</v>
      </c>
      <c r="E26" s="33">
        <f>+C26-D26</f>
        <v>-150</v>
      </c>
      <c r="F26" s="34">
        <f>+E26/D26</f>
        <v>-0.3</v>
      </c>
      <c r="H26" s="31" t="s">
        <v>21</v>
      </c>
      <c r="I26" s="31">
        <f>+I14</f>
        <v>15367</v>
      </c>
      <c r="J26" s="31">
        <f>+J14</f>
        <v>15000</v>
      </c>
      <c r="K26" s="40">
        <f>I26-J26</f>
        <v>367</v>
      </c>
      <c r="L26" s="39">
        <f>+K26/J26</f>
        <v>2.4466666666666668E-2</v>
      </c>
    </row>
    <row r="30" spans="2:12" ht="43.2" x14ac:dyDescent="0.3">
      <c r="B30" s="5" t="s">
        <v>19</v>
      </c>
      <c r="C30" s="23" t="s">
        <v>62</v>
      </c>
      <c r="D30" s="23" t="s">
        <v>65</v>
      </c>
      <c r="E30" s="30" t="s">
        <v>69</v>
      </c>
      <c r="F30" s="23" t="s">
        <v>68</v>
      </c>
      <c r="H30" s="5" t="s">
        <v>19</v>
      </c>
      <c r="I30" s="23" t="s">
        <v>70</v>
      </c>
      <c r="J30" s="23" t="s">
        <v>71</v>
      </c>
      <c r="K30" s="30" t="s">
        <v>72</v>
      </c>
      <c r="L30" s="23" t="s">
        <v>68</v>
      </c>
    </row>
    <row r="31" spans="2:12" x14ac:dyDescent="0.3">
      <c r="B31" s="31" t="s">
        <v>20</v>
      </c>
      <c r="C31" s="31">
        <v>350</v>
      </c>
      <c r="D31" s="31">
        <f>+D14</f>
        <v>500</v>
      </c>
      <c r="E31" s="35">
        <f>+C31-D31</f>
        <v>-150</v>
      </c>
      <c r="F31" s="75">
        <f>+E31/D31</f>
        <v>-0.3</v>
      </c>
      <c r="H31" s="31" t="s">
        <v>21</v>
      </c>
      <c r="I31" s="31">
        <f>+I14</f>
        <v>15367</v>
      </c>
      <c r="J31" s="31">
        <f>+J14</f>
        <v>15000</v>
      </c>
      <c r="K31" s="40">
        <f>I31-J31</f>
        <v>367</v>
      </c>
      <c r="L31" s="39">
        <f>+K31/J31</f>
        <v>2.4466666666666668E-2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EB988-E959-48EB-852A-1298DCF0541C}">
  <dimension ref="B3:H15"/>
  <sheetViews>
    <sheetView showGridLines="0" workbookViewId="0">
      <selection activeCell="A2" sqref="A2"/>
    </sheetView>
  </sheetViews>
  <sheetFormatPr baseColWidth="10" defaultRowHeight="14.4" x14ac:dyDescent="0.3"/>
  <cols>
    <col min="2" max="2" width="19.5" customWidth="1"/>
    <col min="4" max="4" width="12.796875" bestFit="1" customWidth="1"/>
    <col min="6" max="6" width="19.5" customWidth="1"/>
    <col min="8" max="8" width="12.796875" bestFit="1" customWidth="1"/>
  </cols>
  <sheetData>
    <row r="3" spans="2:8" ht="14.95" thickBot="1" x14ac:dyDescent="0.35"/>
    <row r="4" spans="2:8" ht="14.95" thickBot="1" x14ac:dyDescent="0.35">
      <c r="B4" s="131" t="s">
        <v>115</v>
      </c>
      <c r="C4" s="132"/>
      <c r="D4" s="133"/>
      <c r="F4" s="134" t="s">
        <v>117</v>
      </c>
      <c r="G4" s="135"/>
      <c r="H4" s="136"/>
    </row>
    <row r="5" spans="2:8" x14ac:dyDescent="0.3">
      <c r="B5" s="107"/>
      <c r="C5" s="108" t="s">
        <v>3</v>
      </c>
      <c r="D5" s="108" t="s">
        <v>114</v>
      </c>
      <c r="F5" s="107"/>
      <c r="G5" s="108" t="s">
        <v>3</v>
      </c>
      <c r="H5" s="108" t="s">
        <v>114</v>
      </c>
    </row>
    <row r="6" spans="2:8" x14ac:dyDescent="0.3">
      <c r="B6" s="10" t="s">
        <v>6</v>
      </c>
      <c r="C6" s="106">
        <f>'Empresa ACME Datos'!E18</f>
        <v>0.12788981936466196</v>
      </c>
      <c r="D6" s="109">
        <f>'Cumplimiento Metas'!F18</f>
        <v>0.83792463309367793</v>
      </c>
      <c r="F6" s="10" t="s">
        <v>6</v>
      </c>
      <c r="G6" s="106">
        <f>'Empresa ACME Datos'!L18</f>
        <v>7.8425735720235798E-2</v>
      </c>
      <c r="H6" s="109">
        <f>'Cumplimiento Metas'!M18</f>
        <v>0.98037182071960294</v>
      </c>
    </row>
    <row r="7" spans="2:8" x14ac:dyDescent="0.3">
      <c r="B7" s="10" t="s">
        <v>7</v>
      </c>
      <c r="C7" s="109">
        <f>'Empresa ACME Datos'!E19</f>
        <v>-0.12440031568873594</v>
      </c>
      <c r="D7" s="109">
        <f>'Cumplimiento Metas'!F19</f>
        <v>0.82982176813742869</v>
      </c>
      <c r="F7" s="10" t="s">
        <v>7</v>
      </c>
      <c r="G7" s="109">
        <f>'Empresa ACME Datos'!L19</f>
        <v>-0.109212689188616</v>
      </c>
      <c r="H7" s="109">
        <f>'Cumplimiento Metas'!M19</f>
        <v>0.954295033358043</v>
      </c>
    </row>
    <row r="8" spans="2:8" ht="43.2" x14ac:dyDescent="0.3">
      <c r="B8" s="24" t="s">
        <v>18</v>
      </c>
      <c r="C8" s="106">
        <f>'Empresa ACME Datos'!E20</f>
        <v>4.277685139543061E-2</v>
      </c>
      <c r="D8" s="109">
        <f>'Cumplimiento Metas'!F20</f>
        <v>0.83517340940518026</v>
      </c>
      <c r="F8" s="24" t="s">
        <v>18</v>
      </c>
      <c r="G8" s="106">
        <f>'Empresa ACME Datos'!L20</f>
        <v>2.1927446545419102E-2</v>
      </c>
      <c r="H8" s="109">
        <f>'Cumplimiento Metas'!M20</f>
        <v>0.97039231937137194</v>
      </c>
    </row>
    <row r="10" spans="2:8" ht="14.95" thickBot="1" x14ac:dyDescent="0.35"/>
    <row r="11" spans="2:8" ht="14.95" thickBot="1" x14ac:dyDescent="0.35">
      <c r="B11" s="131" t="s">
        <v>116</v>
      </c>
      <c r="C11" s="132"/>
      <c r="D11" s="133"/>
      <c r="F11" s="137"/>
      <c r="G11" s="137"/>
      <c r="H11" s="137"/>
    </row>
    <row r="12" spans="2:8" x14ac:dyDescent="0.3">
      <c r="B12" s="107"/>
      <c r="C12" s="108" t="s">
        <v>3</v>
      </c>
      <c r="D12" s="108" t="s">
        <v>114</v>
      </c>
      <c r="F12" s="110"/>
      <c r="G12" s="102"/>
      <c r="H12" s="102"/>
    </row>
    <row r="13" spans="2:8" x14ac:dyDescent="0.3">
      <c r="B13" s="10" t="s">
        <v>6</v>
      </c>
      <c r="C13" s="106">
        <f>'Empresa ACME Datos'!E25</f>
        <v>4.5866935483870969E-2</v>
      </c>
      <c r="D13" s="109">
        <f>'Cumplimiento Metas'!F25</f>
        <v>0.85470085470085477</v>
      </c>
      <c r="F13" s="102"/>
      <c r="G13" s="111"/>
      <c r="H13" s="111"/>
    </row>
    <row r="14" spans="2:8" x14ac:dyDescent="0.3">
      <c r="B14" s="10" t="s">
        <v>7</v>
      </c>
      <c r="C14" s="106">
        <f>'Empresa ACME Datos'!E26</f>
        <v>-1.704966641957005E-2</v>
      </c>
      <c r="D14" s="109">
        <f>'Cumplimiento Metas'!F26</f>
        <v>0.86956521739130443</v>
      </c>
      <c r="F14" s="102"/>
      <c r="G14" s="111"/>
      <c r="H14" s="111"/>
    </row>
    <row r="15" spans="2:8" ht="43.2" x14ac:dyDescent="0.3">
      <c r="B15" s="24" t="s">
        <v>18</v>
      </c>
      <c r="C15" s="106">
        <f>'Empresa ACME Datos'!E27</f>
        <v>2.0402040204020401E-2</v>
      </c>
      <c r="D15" s="109">
        <f>'Cumplimiento Metas'!F27</f>
        <v>0.86065542021830133</v>
      </c>
      <c r="F15" s="111"/>
      <c r="G15" s="111"/>
      <c r="H15" s="111"/>
    </row>
  </sheetData>
  <mergeCells count="4">
    <mergeCell ref="B4:D4"/>
    <mergeCell ref="B11:D11"/>
    <mergeCell ref="F4:H4"/>
    <mergeCell ref="F11:H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29CAD-8784-4DCD-BE8A-DDE31ACE882A}">
  <dimension ref="B1:H13"/>
  <sheetViews>
    <sheetView showGridLines="0" tabSelected="1" topLeftCell="A4" zoomScale="60" zoomScaleNormal="60" workbookViewId="0">
      <selection activeCell="C5" sqref="C5"/>
    </sheetView>
  </sheetViews>
  <sheetFormatPr baseColWidth="10" defaultRowHeight="14.4" x14ac:dyDescent="0.3"/>
  <cols>
    <col min="2" max="2" width="36" bestFit="1" customWidth="1"/>
    <col min="3" max="3" width="30.69921875" customWidth="1"/>
    <col min="4" max="4" width="37.3984375" customWidth="1"/>
    <col min="5" max="5" width="40.09765625" customWidth="1"/>
    <col min="6" max="6" width="43.59765625" customWidth="1"/>
    <col min="7" max="7" width="46.69921875" customWidth="1"/>
    <col min="8" max="8" width="47.3984375" customWidth="1"/>
    <col min="9" max="15" width="23.59765625" customWidth="1"/>
  </cols>
  <sheetData>
    <row r="1" spans="2:8" ht="21.05" x14ac:dyDescent="0.45">
      <c r="C1" s="121" t="s">
        <v>154</v>
      </c>
    </row>
    <row r="2" spans="2:8" ht="21.05" x14ac:dyDescent="0.45">
      <c r="B2" s="119" t="s">
        <v>122</v>
      </c>
      <c r="C2" s="120">
        <v>45666</v>
      </c>
    </row>
    <row r="3" spans="2:8" ht="21.05" x14ac:dyDescent="0.45">
      <c r="B3" s="119" t="s">
        <v>143</v>
      </c>
      <c r="C3" s="122" t="s">
        <v>155</v>
      </c>
      <c r="D3" s="122" t="s">
        <v>156</v>
      </c>
      <c r="E3" s="122"/>
      <c r="F3" s="122"/>
    </row>
    <row r="4" spans="2:8" x14ac:dyDescent="0.3">
      <c r="B4" s="115" t="s">
        <v>123</v>
      </c>
      <c r="C4" s="115" t="s">
        <v>118</v>
      </c>
      <c r="D4" s="115" t="s">
        <v>119</v>
      </c>
      <c r="E4" s="115" t="s">
        <v>121</v>
      </c>
      <c r="F4" s="115" t="s">
        <v>124</v>
      </c>
      <c r="G4" s="115" t="s">
        <v>125</v>
      </c>
      <c r="H4" s="149"/>
    </row>
    <row r="5" spans="2:8" s="48" customFormat="1" ht="167.85" customHeight="1" x14ac:dyDescent="0.3">
      <c r="B5" s="146" t="s">
        <v>157</v>
      </c>
      <c r="C5" s="145" t="s">
        <v>158</v>
      </c>
      <c r="D5" s="47" t="s">
        <v>162</v>
      </c>
      <c r="E5" s="47" t="s">
        <v>120</v>
      </c>
      <c r="F5" s="47" t="s">
        <v>164</v>
      </c>
      <c r="G5" s="118" t="s">
        <v>144</v>
      </c>
      <c r="H5" s="150"/>
    </row>
    <row r="6" spans="2:8" s="48" customFormat="1" ht="107.45" customHeight="1" x14ac:dyDescent="0.3">
      <c r="B6" s="147"/>
      <c r="C6" s="145" t="s">
        <v>161</v>
      </c>
      <c r="D6" s="47" t="s">
        <v>159</v>
      </c>
      <c r="E6" s="47" t="s">
        <v>163</v>
      </c>
      <c r="F6" s="47" t="s">
        <v>167</v>
      </c>
      <c r="G6" s="46"/>
      <c r="H6" s="150"/>
    </row>
    <row r="7" spans="2:8" s="48" customFormat="1" ht="157.85" customHeight="1" x14ac:dyDescent="0.3">
      <c r="B7" s="148"/>
      <c r="C7" s="145" t="s">
        <v>146</v>
      </c>
      <c r="D7" s="47" t="s">
        <v>165</v>
      </c>
      <c r="E7" s="47" t="s">
        <v>166</v>
      </c>
      <c r="F7" s="47" t="s">
        <v>145</v>
      </c>
      <c r="G7" s="46"/>
      <c r="H7" s="150"/>
    </row>
    <row r="9" spans="2:8" ht="21.05" x14ac:dyDescent="0.45">
      <c r="B9" s="119" t="s">
        <v>126</v>
      </c>
      <c r="G9" s="45"/>
    </row>
    <row r="10" spans="2:8" x14ac:dyDescent="0.3">
      <c r="B10" s="112" t="s">
        <v>129</v>
      </c>
      <c r="C10" s="112" t="s">
        <v>130</v>
      </c>
      <c r="D10" s="112" t="s">
        <v>126</v>
      </c>
      <c r="E10" s="112" t="s">
        <v>135</v>
      </c>
      <c r="F10" s="112" t="s">
        <v>136</v>
      </c>
      <c r="G10" s="112" t="s">
        <v>138</v>
      </c>
      <c r="H10" s="112" t="s">
        <v>140</v>
      </c>
    </row>
    <row r="11" spans="2:8" ht="93.6" customHeight="1" x14ac:dyDescent="0.3">
      <c r="B11" s="113" t="s">
        <v>127</v>
      </c>
      <c r="C11" s="113" t="s">
        <v>131</v>
      </c>
      <c r="D11" s="114" t="s">
        <v>133</v>
      </c>
      <c r="E11" s="144" t="s">
        <v>160</v>
      </c>
      <c r="F11" s="117">
        <v>45672</v>
      </c>
      <c r="G11" s="114" t="s">
        <v>139</v>
      </c>
      <c r="H11" s="114" t="s">
        <v>141</v>
      </c>
    </row>
    <row r="12" spans="2:8" ht="28.8" x14ac:dyDescent="0.3">
      <c r="B12" s="114" t="s">
        <v>128</v>
      </c>
      <c r="C12" s="113" t="s">
        <v>132</v>
      </c>
      <c r="D12" s="114" t="s">
        <v>134</v>
      </c>
      <c r="E12" s="116" t="s">
        <v>137</v>
      </c>
      <c r="F12" s="117">
        <v>45703</v>
      </c>
      <c r="G12" s="114" t="s">
        <v>152</v>
      </c>
      <c r="H12" s="114" t="s">
        <v>142</v>
      </c>
    </row>
    <row r="13" spans="2:8" ht="129.6" x14ac:dyDescent="0.3">
      <c r="B13" s="113" t="s">
        <v>147</v>
      </c>
      <c r="C13" s="113" t="s">
        <v>148</v>
      </c>
      <c r="D13" s="114" t="s">
        <v>149</v>
      </c>
      <c r="E13" s="116" t="s">
        <v>150</v>
      </c>
      <c r="F13" s="117">
        <v>45688</v>
      </c>
      <c r="G13" s="114" t="s">
        <v>151</v>
      </c>
      <c r="H13" s="114" t="s">
        <v>153</v>
      </c>
    </row>
  </sheetData>
  <mergeCells count="1">
    <mergeCell ref="B5:B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Crecimiento Simple</vt:lpstr>
      <vt:lpstr>Empresa ACME Datos</vt:lpstr>
      <vt:lpstr>Cumplimiento Metas</vt:lpstr>
      <vt:lpstr>Cumplimiento Metas Solución</vt:lpstr>
      <vt:lpstr>Ejercicios modulo 2</vt:lpstr>
      <vt:lpstr>Resumen</vt:lpstr>
      <vt:lpstr>Ejemplo Plan de Mejora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Pedro Vasquez</dc:creator>
  <cp:lastModifiedBy>Luis Pedro Vasquez</cp:lastModifiedBy>
  <dcterms:created xsi:type="dcterms:W3CDTF">2024-11-11T00:30:06Z</dcterms:created>
  <dcterms:modified xsi:type="dcterms:W3CDTF">2025-01-04T19:29:16Z</dcterms:modified>
</cp:coreProperties>
</file>